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0160" windowHeight="9375" tabRatio="710" activeTab="2"/>
  </bookViews>
  <sheets>
    <sheet name="Overview" sheetId="1" r:id="rId1"/>
    <sheet name="Budget Worksheet" sheetId="2" r:id="rId2"/>
    <sheet name="RATES" sheetId="3" r:id="rId3"/>
    <sheet name="NIH cap, other salary info" sheetId="4" r:id="rId4"/>
    <sheet name="PM Conversion Chart" sheetId="5" r:id="rId5"/>
    <sheet name="Ref" sheetId="6" r:id="rId6"/>
  </sheets>
  <externalReferences>
    <externalReference r:id="rId9"/>
    <externalReference r:id="rId10"/>
  </externalReferences>
  <definedNames>
    <definedName name="_xlfn.QUARTILE.EXC" hidden="1">#NAME?</definedName>
    <definedName name="APPT">'Ref'!$C$9:$C$11</definedName>
    <definedName name="APPTS">'Ref'!$C$9:$C$12</definedName>
    <definedName name="CombDirectTotal">#REF!</definedName>
    <definedName name="CombIndirect" localSheetId="4">'[1]CHKLST'!#REF!</definedName>
    <definedName name="CombIndirec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Fiscal.Year">'Ref'!$H$2:$H$3</definedName>
    <definedName name="FY_List">'Ref'!$H$2:$H$5</definedName>
    <definedName name="Jobs">'Ref'!$E$2:$E$7</definedName>
    <definedName name="Jobs1">'Ref'!$D$2:$E$6</definedName>
    <definedName name="_xlnm.Print_Area" localSheetId="1">'Budget Worksheet'!$A$1:$S$78</definedName>
    <definedName name="_xlnm.Print_Area" localSheetId="3">'NIH cap, other salary info'!$A$1:$I$40</definedName>
    <definedName name="_xlnm.Print_Area" localSheetId="4">'PM Conversion Chart'!$A$1:$Q$43</definedName>
    <definedName name="Print_Area_MI" localSheetId="1">'Budget Worksheet'!$U$1:$AI$27</definedName>
    <definedName name="Print_Area_MI">#REF!</definedName>
    <definedName name="Print_Titles_MI" localSheetId="4">'[1]FACE'!#REF!</definedName>
    <definedName name="Print_Titles_MI">#REF!</definedName>
    <definedName name="PRSALARY">#REF!</definedName>
    <definedName name="Year1Inc">'Ref'!$C$2</definedName>
    <definedName name="Year1Sub" localSheetId="1">'Budget Worksheet'!$N$47</definedName>
    <definedName name="Year1Sub">#REF!</definedName>
    <definedName name="Year2Inc" localSheetId="5">'Ref'!$C$3</definedName>
    <definedName name="Year2Inc">'[2]Ref'!$C$4</definedName>
    <definedName name="Year2Sub" localSheetId="1">'Budget Worksheet'!$O$47</definedName>
    <definedName name="Year2Sub">#REF!</definedName>
    <definedName name="Year3Inc" localSheetId="5">'Ref'!$C$4</definedName>
    <definedName name="Year3Inc">'[2]Ref'!$C$5</definedName>
    <definedName name="Year3Sub" localSheetId="1">'Budget Worksheet'!$P$47</definedName>
    <definedName name="Year3Sub">#REF!</definedName>
    <definedName name="Year4Inc" localSheetId="5">'Ref'!$C$5</definedName>
    <definedName name="Year4Inc">'[2]Ref'!$C$6</definedName>
    <definedName name="Year4Sub" localSheetId="1">'Budget Worksheet'!$Q$47</definedName>
    <definedName name="Year4Sub">#REF!</definedName>
    <definedName name="Year5Inc" localSheetId="5">'Ref'!$C$6</definedName>
    <definedName name="Year5Inc">'[2]Ref'!$C$7</definedName>
    <definedName name="Year5Sub" localSheetId="1">'Budget Worksheet'!$R$47</definedName>
    <definedName name="Year5Sub">#REF!</definedName>
  </definedNames>
  <calcPr fullCalcOnLoad="1"/>
</workbook>
</file>

<file path=xl/comments2.xml><?xml version="1.0" encoding="utf-8"?>
<comments xmlns="http://schemas.openxmlformats.org/spreadsheetml/2006/main">
  <authors>
    <author>Medical Center Admin Services</author>
    <author>OSP-West</author>
    <author>SRS</author>
  </authors>
  <commentList>
    <comment ref="K4" authorId="0">
      <text>
        <r>
          <rPr>
            <sz val="10"/>
            <rFont val="Tahoma"/>
            <family val="2"/>
          </rPr>
          <t>In column A choose appointment type from drop down list. Fringe rates will automatically pro-rate in this column</t>
        </r>
        <r>
          <rPr>
            <sz val="8"/>
            <rFont val="Tahoma"/>
            <family val="2"/>
          </rPr>
          <t xml:space="preserve">
</t>
        </r>
      </text>
    </comment>
    <comment ref="N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A4" authorId="0">
      <text>
        <r>
          <rPr>
            <sz val="10"/>
            <rFont val="Tahoma"/>
            <family val="2"/>
          </rPr>
          <t xml:space="preserve">All University Personnel associated with this proposal should be identified in this section. Non-University personnel should either be listed in the Consultant section or identified as part of a Consortium. </t>
        </r>
      </text>
    </comment>
    <comment ref="C1" authorId="0">
      <text>
        <r>
          <rPr>
            <sz val="10"/>
            <rFont val="Tahoma"/>
            <family val="2"/>
          </rPr>
          <t>Click on this for a link from the SRS website for NIH Standard Receipt Dates and Review and Award Cycles.</t>
        </r>
      </text>
    </comment>
    <comment ref="A60" authorId="0">
      <text>
        <r>
          <rPr>
            <sz val="10"/>
            <rFont val="Tahoma"/>
            <family val="2"/>
          </rPr>
          <t>Click on this box for a link to the GCC website for a copy of the F&amp;A Rate agreement.</t>
        </r>
      </text>
    </comment>
    <comment ref="A66" authorId="0">
      <text>
        <r>
          <rPr>
            <sz val="10"/>
            <rFont val="Tahoma"/>
            <family val="2"/>
          </rPr>
          <t>Cost sharing or matching is that portion of a project or program not borne by the sponsoring agency.
    It must be directly identifiable and specifically benefit a project or program
    It must be allowable under A-21 and the guidelines of the funding agency
    The cost must be incurred during the performance of the grant or agreement</t>
        </r>
      </text>
    </comment>
    <comment ref="A64" authorId="0">
      <text>
        <r>
          <rPr>
            <sz val="10"/>
            <rFont val="Tahoma"/>
            <family val="2"/>
          </rPr>
          <t>Click on this box for a link to the SRS website for the paper PRF Form.</t>
        </r>
      </text>
    </comment>
    <comment ref="J38" authorId="0">
      <text>
        <r>
          <rPr>
            <sz val="10"/>
            <rFont val="Tahoma"/>
            <family val="2"/>
          </rPr>
          <t>Insert the Name of the Institution for the subaward in this box.</t>
        </r>
      </text>
    </comment>
    <comment ref="J41" authorId="0">
      <text>
        <r>
          <rPr>
            <sz val="10"/>
            <rFont val="Tahoma"/>
            <family val="2"/>
          </rPr>
          <t>Insert the Name of the Institution for the subaward in this box.</t>
        </r>
      </text>
    </comment>
    <comment ref="J44" authorId="0">
      <text>
        <r>
          <rPr>
            <sz val="10"/>
            <rFont val="Tahoma"/>
            <family val="2"/>
          </rPr>
          <t>Insert the Name of the Institution for the subaward in this box.</t>
        </r>
      </text>
    </comment>
    <comment ref="O49" authorId="0">
      <text>
        <r>
          <rPr>
            <b/>
            <sz val="10"/>
            <rFont val="Tahoma"/>
            <family val="2"/>
          </rPr>
          <t xml:space="preserve">WARNING!!
</t>
        </r>
        <r>
          <rPr>
            <sz val="10"/>
            <rFont val="Tahoma"/>
            <family val="2"/>
          </rPr>
          <t>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P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Q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R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S63" authorId="0">
      <text>
        <r>
          <rPr>
            <sz val="10"/>
            <rFont val="Tahoma"/>
            <family val="2"/>
          </rPr>
          <t>Insert this amount for # 8b on the PHS 398 Face Page.</t>
        </r>
      </text>
    </comment>
    <comment ref="I37" authorId="1">
      <text>
        <r>
          <rPr>
            <sz val="10"/>
            <rFont val="Tahoma"/>
            <family val="2"/>
          </rPr>
          <t>Round $ amounts UP to the nearest thousandth, e.g., 11,951 rounds up to 12,000</t>
        </r>
      </text>
    </comment>
    <comment ref="A25" authorId="0">
      <text>
        <r>
          <rPr>
            <sz val="10"/>
            <rFont val="Tahoma"/>
            <family val="2"/>
          </rPr>
          <t>Click on this box for a link to the most recent NIH Salary Cap notice.</t>
        </r>
      </text>
    </comment>
    <comment ref="A26" authorId="0">
      <text>
        <r>
          <rPr>
            <sz val="10"/>
            <rFont val="Tahoma"/>
            <family val="2"/>
          </rPr>
          <t>Click on this box for a link to the  most recent NIH notice for Stipend levels.</t>
        </r>
      </text>
    </comment>
    <comment ref="A28" authorId="0">
      <text>
        <r>
          <rPr>
            <sz val="10"/>
            <rFont val="Tahoma"/>
            <family val="2"/>
          </rPr>
          <t xml:space="preserve">Equipment is defined as an article of nonexpendable, tangible personal property having a useful life of more than one year and an acquisition cost of  $5,000.00 or more. </t>
        </r>
      </text>
    </comment>
    <comment ref="A32" authorId="0">
      <text>
        <r>
          <rPr>
            <sz val="10"/>
            <rFont val="Tahoma"/>
            <family val="2"/>
          </rPr>
          <t>Not subject to Facilities and Administrative costs (indirect)</t>
        </r>
      </text>
    </comment>
    <comment ref="A36" authorId="0">
      <text>
        <r>
          <rPr>
            <sz val="10"/>
            <rFont val="Tahoma"/>
            <family val="2"/>
          </rPr>
          <t>Click on this box for a link to the current University tuition and fee schedule.</t>
        </r>
      </text>
    </comment>
    <comment ref="N58" authorId="1">
      <text>
        <r>
          <rPr>
            <sz val="10"/>
            <rFont val="Tahoma"/>
            <family val="2"/>
          </rPr>
          <t>Insert this amount for # 7a on the PHS 398 Face Page.</t>
        </r>
      </text>
    </comment>
    <comment ref="S58" authorId="1">
      <text>
        <r>
          <rPr>
            <sz val="10"/>
            <rFont val="Tahoma"/>
            <family val="2"/>
          </rPr>
          <t>Insert this amount for # 8a on the PHS 398 Face Page.</t>
        </r>
      </text>
    </comment>
    <comment ref="I55" authorId="1">
      <text>
        <r>
          <rPr>
            <sz val="10"/>
            <rFont val="Tahoma"/>
            <family val="2"/>
          </rPr>
          <t>Enter the rate for the type of project or use the off-campus rate if that is applicable.</t>
        </r>
        <r>
          <rPr>
            <sz val="10"/>
            <rFont val="Tahoma"/>
            <family val="2"/>
          </rPr>
          <t xml:space="preserve">
</t>
        </r>
      </text>
    </comment>
    <comment ref="S61" authorId="1">
      <text>
        <r>
          <rPr>
            <sz val="10"/>
            <rFont val="Tahoma"/>
            <family val="2"/>
          </rPr>
          <t>If this cell is negative you must add modules to one or more years of the budget.</t>
        </r>
      </text>
    </comment>
    <comment ref="E5" authorId="2">
      <text>
        <r>
          <rPr>
            <sz val="10"/>
            <rFont val="Tahoma"/>
            <family val="2"/>
          </rPr>
          <t xml:space="preserve">If faculty on 9 month appointment, use one line for academic year appointment and one line for recess period.
To calculate recess base see converter on NIH salary cap tab.
</t>
        </r>
      </text>
    </comment>
    <comment ref="G5" authorId="2">
      <text>
        <r>
          <rPr>
            <sz val="10"/>
            <rFont val="Tahoma"/>
            <family val="2"/>
          </rPr>
          <t xml:space="preserve">If Type App't is  Part time (PT) cell value defaults to 0.00. To calculate person months please enter custom calculation, i.e.,
=((%Appt x 52wks) x %Effort) / 4.33333 </t>
        </r>
      </text>
    </comment>
  </commentList>
</comments>
</file>

<file path=xl/comments4.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<sst xmlns="http://schemas.openxmlformats.org/spreadsheetml/2006/main" count="330" uniqueCount="246">
  <si>
    <t xml:space="preserve"> </t>
  </si>
  <si>
    <t>Patient Care</t>
  </si>
  <si>
    <t>TRAVEL</t>
  </si>
  <si>
    <t>CONSULTANT COSTS</t>
  </si>
  <si>
    <t>EQUIPMENT</t>
  </si>
  <si>
    <t>SUPPLIES</t>
  </si>
  <si>
    <t>OTHER EXPENSES</t>
  </si>
  <si>
    <t>PROPOSAL</t>
  </si>
  <si>
    <t>NIH</t>
  </si>
  <si>
    <t>INTERNAL USE ONLY</t>
  </si>
  <si>
    <t>PROJECT PERIOD</t>
  </si>
  <si>
    <t>ROLE ON</t>
  </si>
  <si>
    <t>TYPE</t>
  </si>
  <si>
    <t>% EFFORT</t>
  </si>
  <si>
    <t>SALARY</t>
  </si>
  <si>
    <t>FRINGE</t>
  </si>
  <si>
    <t>YR.01</t>
  </si>
  <si>
    <t>TOTAL</t>
  </si>
  <si>
    <t>PROJECT</t>
  </si>
  <si>
    <t>APPT.</t>
  </si>
  <si>
    <t>REQ'D</t>
  </si>
  <si>
    <t>RATE</t>
  </si>
  <si>
    <t>BENEFITS</t>
  </si>
  <si>
    <t>INC</t>
  </si>
  <si>
    <t>01 YEAR</t>
  </si>
  <si>
    <t>02 YEAR</t>
  </si>
  <si>
    <t>03 YEAR</t>
  </si>
  <si>
    <t>04 YEAR</t>
  </si>
  <si>
    <t>05 YEAR</t>
  </si>
  <si>
    <t>NOTES/COMMENTS IF APPLICABLE:</t>
  </si>
  <si>
    <t>Salary Cap</t>
  </si>
  <si>
    <t>Stipend Levels</t>
  </si>
  <si>
    <t>ANIMALS</t>
  </si>
  <si>
    <t>CONSUMABLES</t>
  </si>
  <si>
    <t>Equipment</t>
  </si>
  <si>
    <t>PATIENT CARE</t>
  </si>
  <si>
    <t>Supplies</t>
  </si>
  <si>
    <t>TUITION</t>
  </si>
  <si>
    <t>Travel</t>
  </si>
  <si>
    <t>SUBTOTAL DIRECT COSTS</t>
  </si>
  <si>
    <t>Other Expenses</t>
  </si>
  <si>
    <t>SUBCONTRACT COSTS</t>
  </si>
  <si>
    <t>Subaward #1 direct</t>
  </si>
  <si>
    <t>Subaward #2 direct</t>
  </si>
  <si>
    <t>Subaward #3 direct</t>
  </si>
  <si>
    <t>TOTAL SUBCONTRACT COSTS</t>
  </si>
  <si>
    <t>Cost Share</t>
  </si>
  <si>
    <t>MTDC Base</t>
  </si>
  <si>
    <t>Yr. 01 less equip and tuition + first $25k of SubX if applicable</t>
  </si>
  <si>
    <t>F&amp;A RATE</t>
  </si>
  <si>
    <t>Yr. 02 less equip and tuition + first $25k of SubX if applicable</t>
  </si>
  <si>
    <t>Yr. 03 less equip and tuition + first $25k of SubX if applicable</t>
  </si>
  <si>
    <t>Yr. 04 less equip and tuition + first $25k of SubX if applicable</t>
  </si>
  <si>
    <t>TOTAL AMOUNT FOR GRANT REQUEST</t>
  </si>
  <si>
    <t>Please DO NOT change any information on this sheet.</t>
  </si>
  <si>
    <t>Faculty</t>
  </si>
  <si>
    <t>Year1Inc</t>
  </si>
  <si>
    <t>Year2Inc</t>
  </si>
  <si>
    <t>Year3Inc</t>
  </si>
  <si>
    <t>Students</t>
  </si>
  <si>
    <t>Year4Inc</t>
  </si>
  <si>
    <t>Year5Inc</t>
  </si>
  <si>
    <t>F</t>
  </si>
  <si>
    <t>E</t>
  </si>
  <si>
    <t>NE</t>
  </si>
  <si>
    <t>S</t>
  </si>
  <si>
    <t>PT</t>
  </si>
  <si>
    <t>Exempt</t>
  </si>
  <si>
    <t>Non-Exempt</t>
  </si>
  <si>
    <t>Part Time</t>
  </si>
  <si>
    <t xml:space="preserve">Budget Period : </t>
  </si>
  <si>
    <t>Fringe Benefit Rates</t>
  </si>
  <si>
    <t>Faculty (AAUP)</t>
  </si>
  <si>
    <t>Exmpt Staff (Mnthly)/Non-AAUP Faculty</t>
  </si>
  <si>
    <t>NonExempt Staff (Bi-Weekly)</t>
  </si>
  <si>
    <t>Students (Grad and Undergrad)</t>
  </si>
  <si>
    <t>Part-Time Faculty (&lt;65%)/Staff (&lt;80%)/Post Doc</t>
  </si>
  <si>
    <t>Indirect Cost Rates (on Campus)</t>
  </si>
  <si>
    <t>Research Indirect Costs</t>
  </si>
  <si>
    <t>Instruction Indirect Costs</t>
  </si>
  <si>
    <t>Public Service Indirect Costs</t>
  </si>
  <si>
    <t>Indirect Cost Rates (off Campus &amp; for Sub-Contracts $25,000 or less)</t>
  </si>
  <si>
    <t>PRO-RATED RATES USED</t>
  </si>
  <si>
    <t>weight</t>
  </si>
  <si>
    <t>YEAR 1</t>
  </si>
  <si>
    <t>YEAR 2</t>
  </si>
  <si>
    <t>YEAR 3</t>
  </si>
  <si>
    <t>YEAR 4</t>
  </si>
  <si>
    <t>YEAR 5</t>
  </si>
  <si>
    <t>YEAR 6</t>
  </si>
  <si>
    <t>YEAR 7</t>
  </si>
  <si>
    <t>Exempt Staff (Monthly)</t>
  </si>
  <si>
    <t>P-T Fac(&lt;65%)/Staff(&lt;80%)&amp;Post Doc</t>
  </si>
  <si>
    <t>to</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</si>
  <si>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</si>
  <si>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</si>
  <si>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</si>
  <si>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</si>
  <si>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</si>
  <si>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</si>
  <si>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</si>
  <si>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</si>
  <si>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</si>
  <si>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</si>
  <si>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</si>
  <si>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</si>
  <si>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</si>
  <si>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</si>
  <si>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</si>
  <si>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</si>
  <si>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</si>
  <si>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</si>
  <si>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</si>
  <si>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</si>
  <si>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</si>
  <si>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</si>
  <si>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</si>
  <si>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</si>
  <si>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</si>
  <si>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Enter 32 week salary base here</t>
  </si>
  <si>
    <t>recess period base</t>
  </si>
  <si>
    <t>Year 1</t>
  </si>
  <si>
    <t>Year 2</t>
  </si>
  <si>
    <t>Year 3</t>
  </si>
  <si>
    <t>Year 4</t>
  </si>
  <si>
    <t>Year 5</t>
  </si>
  <si>
    <t>Year 6</t>
  </si>
  <si>
    <t>Year 7</t>
  </si>
  <si>
    <t>Fringe Benefit Base for Project Period</t>
  </si>
  <si>
    <t>Tuition</t>
  </si>
  <si>
    <t>Off Campus Projects</t>
  </si>
  <si>
    <t xml:space="preserve">   S #1 F&amp;A</t>
  </si>
  <si>
    <t xml:space="preserve">   S #2 F&amp;A</t>
  </si>
  <si>
    <t xml:space="preserve">   S #3 F&amp;A</t>
  </si>
  <si>
    <t>CONSORTIUM F&amp;A</t>
  </si>
  <si>
    <t>UC F&amp;A COSTS</t>
  </si>
  <si>
    <t>Please see NIH Cap worksheet for information on the NIH budget cap adjusted for 9 month appointments and a utility to compute the recess period salary base.</t>
  </si>
  <si>
    <t>Amount over/under modular request</t>
  </si>
  <si>
    <t>ACTUAL DIRECT COSTS LESS CONSORTIUM F&amp;A</t>
  </si>
  <si>
    <t>UC MTDC BASE</t>
  </si>
  <si>
    <t>ENTER AMOUNT OF ANNUAL MODULAR BUDGET</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</si>
  <si>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</si>
  <si>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Modular Total DC</t>
  </si>
  <si>
    <t>PERSON</t>
  </si>
  <si>
    <t>MONTHS</t>
  </si>
  <si>
    <t>NIH11</t>
  </si>
  <si>
    <t xml:space="preserve">o  January 1, 2006 and beyond </t>
  </si>
  <si>
    <t>CAL</t>
  </si>
  <si>
    <t>ACAD</t>
  </si>
  <si>
    <t>SUMR</t>
  </si>
  <si>
    <t>Calendar</t>
  </si>
  <si>
    <t>Academic</t>
  </si>
  <si>
    <t>Summer</t>
  </si>
  <si>
    <t>The Tuition line has an automatic increase built in, DO NOT CHANGE formula.</t>
  </si>
  <si>
    <t>No Increase has been built into years 2-5</t>
  </si>
  <si>
    <t>A 3% increase has been built into years 2-5</t>
  </si>
  <si>
    <t>Patient Care has a 3% increase built into years 2-5; adjust if necessary.</t>
  </si>
  <si>
    <t>Subcontract Costs</t>
  </si>
  <si>
    <t xml:space="preserve">SALARY AT </t>
  </si>
  <si>
    <t>START DATE</t>
  </si>
  <si>
    <t xml:space="preserve">CURRENT </t>
  </si>
  <si>
    <t>BASE</t>
  </si>
  <si>
    <t xml:space="preserve">ON </t>
  </si>
  <si>
    <t>BENEFIT</t>
  </si>
  <si>
    <t>In column N please enter any additional increase to be applied to base salary.</t>
  </si>
  <si>
    <r>
      <t xml:space="preserve">Note:  Please insert the </t>
    </r>
    <r>
      <rPr>
        <b/>
        <u val="single"/>
        <sz val="12"/>
        <rFont val="Arial"/>
        <family val="2"/>
      </rPr>
      <t>current</t>
    </r>
    <r>
      <rPr>
        <sz val="12"/>
        <rFont val="Arial"/>
        <family val="2"/>
      </rPr>
      <t xml:space="preserve"> Institutional Base Salary in column I.</t>
    </r>
  </si>
  <si>
    <t>Salary &amp; Fringes -- New Instructions</t>
  </si>
  <si>
    <t>NIH12</t>
  </si>
  <si>
    <t xml:space="preserve">o  January 1, 2007 and beyond </t>
  </si>
  <si>
    <t>FY11</t>
  </si>
  <si>
    <t>FY12</t>
  </si>
  <si>
    <t>FY13</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</si>
  <si>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</si>
  <si>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</si>
  <si>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</si>
  <si>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</si>
  <si>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</si>
  <si>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</si>
  <si>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</si>
  <si>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</si>
  <si>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</si>
  <si>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</si>
  <si>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</si>
  <si>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PM</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</si>
  <si>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</si>
  <si>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</si>
  <si>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</si>
  <si>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</si>
  <si>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</si>
  <si>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FY14</t>
  </si>
  <si>
    <t>Recess Cap</t>
  </si>
  <si>
    <t xml:space="preserve">Academic and Recess cap together </t>
  </si>
  <si>
    <t>FY15</t>
  </si>
  <si>
    <t>SRS Paper PRF</t>
  </si>
  <si>
    <t xml:space="preserve">This is an estimatedd average of AAUP contract terms for increases. </t>
  </si>
  <si>
    <t>FY 16</t>
  </si>
  <si>
    <t>CHOOSEAPPT. TYPE</t>
  </si>
  <si>
    <t>PERSONNEL NAME</t>
  </si>
  <si>
    <t>Total</t>
  </si>
  <si>
    <t xml:space="preserve">Column I in preset to increase the base salary by 3% at the time of the projected start date. </t>
  </si>
  <si>
    <t>Name</t>
  </si>
  <si>
    <t>PI</t>
  </si>
  <si>
    <t>FY17</t>
  </si>
  <si>
    <t>FY16</t>
  </si>
  <si>
    <t>Indirect Cost Rates (off Campus)</t>
  </si>
  <si>
    <t>Research F&amp;A</t>
  </si>
  <si>
    <t>Instruction F&amp;A</t>
  </si>
  <si>
    <t>PS F&amp;A</t>
  </si>
  <si>
    <t>Detailed F&amp;A figures for prorated rates</t>
  </si>
  <si>
    <t>*If both lines have the same rate, then just list as one line on forms.</t>
  </si>
  <si>
    <t>`</t>
  </si>
  <si>
    <t>o  January 1, 2008 to December 31, 2008</t>
  </si>
  <si>
    <t>o  January 1, 2009 to December 31, 2009</t>
  </si>
  <si>
    <t>o  January 1, 2010 to December 23, 2011</t>
  </si>
  <si>
    <t>o  January 12, 2014 to January 10, 2015</t>
  </si>
  <si>
    <t>o  January 11, 2015 to January 09, 2016</t>
  </si>
  <si>
    <t>DHHS Salary Caps</t>
  </si>
  <si>
    <t>FY24</t>
  </si>
  <si>
    <t>7/23-6/24</t>
  </si>
  <si>
    <t>Exmpt Staff (Mnthly)/</t>
  </si>
  <si>
    <t>Dual Comp Faculty</t>
  </si>
  <si>
    <t>DCF</t>
  </si>
  <si>
    <t>Dual Comp Facilty</t>
  </si>
  <si>
    <t>FY25</t>
  </si>
  <si>
    <t>7/24-6/25</t>
  </si>
  <si>
    <t>o  December 24, 2011 to January 11, 2014</t>
  </si>
  <si>
    <t>o  January 6, 2019 to January 4, 2020</t>
  </si>
  <si>
    <t>FY26</t>
  </si>
  <si>
    <t>7/25-6/26</t>
  </si>
  <si>
    <t>o  January 5, 2020 to January 2, 2021</t>
  </si>
  <si>
    <r>
      <t xml:space="preserve">Steps to take when starting a modular budget:
Go to tab for RATES
Enter Starting Date of the project in cell E2
Enter Ending Date of the project in cell G2       
The above actions will enable the spreadsheet to automatically calculate the prorated fringe benefit rates for the project. </t>
    </r>
    <r>
      <rPr>
        <i/>
        <sz val="12"/>
        <rFont val="Times New Roman"/>
        <family val="1"/>
      </rPr>
      <t xml:space="preserve">
</t>
    </r>
    <r>
      <rPr>
        <sz val="12"/>
        <rFont val="Times New Roman"/>
        <family val="1"/>
      </rPr>
      <t xml:space="preserve">
For each UC person identified in the personnel section of the budget choose their appointment type from the drop down list in Column A.
</t>
    </r>
    <r>
      <rPr>
        <i/>
        <sz val="12"/>
        <rFont val="Times New Roman"/>
        <family val="1"/>
      </rPr>
      <t xml:space="preserve">This step combined with the proration utility will enter the fringe benefit rate for the person in column J. 
(F=Faculty, E=Exempt, NE=NonExempt, S=Student [graduate or undergraduate] and PT=Part-time)
</t>
    </r>
    <r>
      <rPr>
        <sz val="12"/>
        <rFont val="Times New Roman"/>
        <family val="1"/>
      </rPr>
      <t>Next pick from the drop down list the type of the appointment being charged to the project, this combined with % effort will provide person months</t>
    </r>
    <r>
      <rPr>
        <i/>
        <sz val="12"/>
        <rFont val="Times New Roman"/>
        <family val="1"/>
      </rPr>
      <t xml:space="preserve">
CAL = 12 month appointment; ACAD = 32 week academic appointment (typically non-COM teaching faculty); SUMR = 14 week recess period; or PT = part time. If you choose PT the system will not automatically calculate person months.
Go to row 58 and enter the modular budget amount for each fiscal year
</t>
    </r>
    <r>
      <rPr>
        <sz val="12"/>
        <rFont val="Times New Roman"/>
        <family val="1"/>
      </rPr>
      <t xml:space="preserve">
</t>
    </r>
  </si>
  <si>
    <t>FY27</t>
  </si>
  <si>
    <t>7/26-6/27</t>
  </si>
  <si>
    <t>Starting Year Calculation</t>
  </si>
  <si>
    <t>Row Value</t>
  </si>
  <si>
    <t>o  January 3, 2021 To January 1, 2022</t>
  </si>
  <si>
    <t>o  January 2, 2022 to December 31, 2023</t>
  </si>
  <si>
    <t>FY28</t>
  </si>
  <si>
    <t>FY29</t>
  </si>
  <si>
    <t>7/27-6/28</t>
  </si>
  <si>
    <t>7/28-6/29</t>
  </si>
  <si>
    <t>o  January 1, 2023 to December 31, 2024</t>
  </si>
  <si>
    <t>o  January 1, 2024 and Beyond</t>
  </si>
  <si>
    <t>Last Revised:2/5/24</t>
  </si>
  <si>
    <t>FY30</t>
  </si>
  <si>
    <t>Last Revised: 5/1/24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</si>
</sst>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
    <numFmt numFmtId="167" formatCode="_(* #,##0.00000_);_(* \(#,##0.00000\);_(* &quot;-&quot;?????_);_(@_)"/>
    <numFmt numFmtId="168" formatCode="mm/dd/yy_)"/>
    <numFmt numFmtId="169" formatCode="0.0%"/>
    <numFmt numFmtId="170" formatCode="&quot;(&quot;\ &quot;$&quot;\ #,##0.00\ &quot;/ hour )&quot;"/>
    <numFmt numFmtId="171" formatCode="m/d/yy;@"/>
    <numFmt numFmtId="172" formatCode="0.0000"/>
    <numFmt numFmtId="173" formatCode="mmm\-yyyy"/>
    <numFmt numFmtId="174" formatCode="[$-409]dddd\,\ mmmm\ dd\,\ yyyy"/>
    <numFmt numFmtId="175" formatCode="General_);[Red]\-General_)"/>
    <numFmt numFmtId="176" formatCode="0.00%;[Red]\-0.00%"/>
    <numFmt numFmtId="177" formatCode="_(* #,##0_);_(* \(#,##0\);_(* &quot;-&quot;??_);_(@_)"/>
    <numFmt numFmtId="178" formatCode="_(&quot;$&quot;* #,##0_);_(&quot;$&quot;* \(#,##0\);_(&quot;$&quot;* &quot;-&quot;??_);_(@_)"/>
    <numFmt numFmtId="179" formatCode="0.000%"/>
  </numFmts>
  <fonts count="112">
    <font>
      <sz val="10"/>
      <name val="Courier"/>
      <family val="0"/>
    </font>
    <font>
      <sz val="11"/>
      <color indexed="8"/>
      <name val="Calibri"/>
      <family val="2"/>
    </font>
    <font>
      <sz val="10"/>
      <name val="MS Sans Serif"/>
      <family val="2"/>
    </font>
    <font>
      <sz val="12"/>
      <name val="Times New Roman"/>
      <family val="1"/>
    </font>
    <font>
      <sz val="8"/>
      <name val="Tahoma"/>
      <family val="2"/>
    </font>
    <font>
      <sz val="10"/>
      <name val="Arial"/>
      <family val="2"/>
    </font>
    <font>
      <b/>
      <sz val="10"/>
      <name val="Arial"/>
      <family val="2"/>
    </font>
    <font>
      <sz val="12"/>
      <name val="Arial"/>
      <family val="2"/>
    </font>
    <font>
      <b/>
      <sz val="12"/>
      <name val="Arial"/>
      <family val="2"/>
    </font>
    <font>
      <i/>
      <sz val="12"/>
      <name val="Arial"/>
      <family val="2"/>
    </font>
    <font>
      <b/>
      <sz val="12"/>
      <name val="Times New Roman"/>
      <family val="1"/>
    </font>
    <font>
      <u val="single"/>
      <sz val="7.5"/>
      <color indexed="12"/>
      <name val="Courier"/>
      <family val="3"/>
    </font>
    <font>
      <u val="single"/>
      <sz val="8.4"/>
      <color indexed="12"/>
      <name val="SWISS"/>
      <family val="0"/>
    </font>
    <font>
      <sz val="12"/>
      <name val="SWISS"/>
      <family val="0"/>
    </font>
    <font>
      <sz val="10"/>
      <name val="Tahoma"/>
      <family val="2"/>
    </font>
    <font>
      <b/>
      <sz val="10"/>
      <name val="Tahoma"/>
      <family val="2"/>
    </font>
    <font>
      <sz val="12"/>
      <color indexed="12"/>
      <name val="Times New Roman"/>
      <family val="1"/>
    </font>
    <font>
      <u val="single"/>
      <sz val="12"/>
      <name val="Times New Roman"/>
      <family val="1"/>
    </font>
    <font>
      <b/>
      <u val="single"/>
      <sz val="12"/>
      <name val="Times New Roman"/>
      <family val="1"/>
    </font>
    <font>
      <u val="single"/>
      <sz val="12"/>
      <color indexed="12"/>
      <name val="Arial"/>
      <family val="2"/>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sz val="8"/>
      <name val="Courier"/>
      <family val="3"/>
    </font>
    <font>
      <sz val="12"/>
      <color indexed="12"/>
      <name val="Arial"/>
      <family val="2"/>
    </font>
    <font>
      <b/>
      <sz val="14"/>
      <color indexed="33"/>
      <name val="Arial"/>
      <family val="2"/>
    </font>
    <font>
      <sz val="12"/>
      <color indexed="10"/>
      <name val="Arial"/>
      <family val="2"/>
    </font>
    <font>
      <sz val="12"/>
      <color indexed="8"/>
      <name val="Arial"/>
      <family val="2"/>
    </font>
    <font>
      <b/>
      <u val="single"/>
      <sz val="12"/>
      <name val="Arial"/>
      <family val="2"/>
    </font>
    <font>
      <u val="single"/>
      <sz val="12"/>
      <name val="Arial"/>
      <family val="2"/>
    </font>
    <font>
      <u val="single"/>
      <sz val="12"/>
      <color indexed="49"/>
      <name val="Arial"/>
      <family val="2"/>
    </font>
    <font>
      <b/>
      <sz val="12"/>
      <color indexed="20"/>
      <name val="Arial"/>
      <family val="2"/>
    </font>
    <font>
      <b/>
      <sz val="12"/>
      <color indexed="12"/>
      <name val="Arial"/>
      <family val="2"/>
    </font>
    <font>
      <sz val="16"/>
      <name val="Arial"/>
      <family val="2"/>
    </font>
    <font>
      <u val="singleAccounting"/>
      <sz val="12"/>
      <name val="Arial"/>
      <family val="2"/>
    </font>
    <font>
      <i/>
      <sz val="12"/>
      <name val="Times New Roman"/>
      <family val="1"/>
    </font>
    <font>
      <b/>
      <sz val="10"/>
      <name val="Courier"/>
      <family val="3"/>
    </font>
    <font>
      <sz val="12"/>
      <color indexed="10"/>
      <name val="SWISS"/>
      <family val="0"/>
    </font>
    <font>
      <sz val="8"/>
      <name val="Arial"/>
      <family val="2"/>
    </font>
    <font>
      <sz val="9"/>
      <name val="Arial"/>
      <family val="2"/>
    </font>
    <font>
      <sz val="9"/>
      <color indexed="20"/>
      <name val="Arial"/>
      <family val="2"/>
    </font>
    <font>
      <u val="single"/>
      <sz val="9"/>
      <color indexed="20"/>
      <name val="Arial"/>
      <family val="2"/>
    </font>
    <font>
      <b/>
      <sz val="9"/>
      <name val="Arial"/>
      <family val="2"/>
    </font>
    <font>
      <b/>
      <sz val="9"/>
      <color indexed="10"/>
      <name val="Arial"/>
      <family val="2"/>
    </font>
    <font>
      <sz val="9"/>
      <name val="Times New Roman"/>
      <family val="1"/>
    </font>
    <font>
      <b/>
      <u val="single"/>
      <sz val="14"/>
      <name val="Times New Roman"/>
      <family val="1"/>
    </font>
    <font>
      <b/>
      <sz val="14"/>
      <name val="Arial"/>
      <family val="2"/>
    </font>
    <font>
      <sz val="13"/>
      <color indexed="8"/>
      <name val="Arial"/>
      <family val="2"/>
    </font>
    <font>
      <sz val="13"/>
      <name val="Arial"/>
      <family val="2"/>
    </font>
    <font>
      <b/>
      <sz val="13"/>
      <name val="Arial"/>
      <family val="2"/>
    </font>
    <font>
      <u val="double"/>
      <sz val="13"/>
      <name val="Arial"/>
      <family val="2"/>
    </font>
    <font>
      <sz val="14"/>
      <name val="Arial"/>
      <family val="2"/>
    </font>
    <font>
      <b/>
      <u val="single"/>
      <sz val="14"/>
      <color indexed="12"/>
      <name val="Arial"/>
      <family val="2"/>
    </font>
    <font>
      <b/>
      <sz val="14"/>
      <color indexed="12"/>
      <name val="Arial"/>
      <family val="2"/>
    </font>
    <font>
      <b/>
      <u val="single"/>
      <sz val="14"/>
      <name val="Arial"/>
      <family val="2"/>
    </font>
    <font>
      <sz val="14"/>
      <color indexed="8"/>
      <name val="Arial"/>
      <family val="2"/>
    </font>
    <font>
      <sz val="14"/>
      <color indexed="12"/>
      <name val="Arial"/>
      <family val="2"/>
    </font>
    <font>
      <b/>
      <sz val="14"/>
      <color indexed="20"/>
      <name val="Arial"/>
      <family val="2"/>
    </font>
    <font>
      <sz val="14"/>
      <color indexed="39"/>
      <name val="Arial"/>
      <family val="2"/>
    </font>
    <font>
      <sz val="14"/>
      <name val="Times New Roman"/>
      <family val="1"/>
    </font>
    <font>
      <b/>
      <sz val="14"/>
      <name val="Times New Roman"/>
      <family val="1"/>
    </font>
    <font>
      <u val="single"/>
      <sz val="10"/>
      <color indexed="12"/>
      <name val="Courier"/>
      <family val="3"/>
    </font>
    <font>
      <b/>
      <sz val="12"/>
      <color indexed="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Courie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10"/>
      <name val="Arial"/>
      <family val="2"/>
    </font>
    <font>
      <b/>
      <u val="single"/>
      <sz val="12"/>
      <color indexed="62"/>
      <name val="Arial"/>
      <family val="2"/>
    </font>
    <font>
      <b/>
      <sz val="12"/>
      <color indexed="62"/>
      <name val="Arial"/>
      <family val="2"/>
    </font>
    <font>
      <b/>
      <sz val="14"/>
      <color indexed="17"/>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ourie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C00000"/>
      <name val="Arial"/>
      <family val="2"/>
    </font>
    <font>
      <sz val="12"/>
      <color rgb="FFC00000"/>
      <name val="Arial"/>
      <family val="2"/>
    </font>
    <font>
      <b/>
      <u val="single"/>
      <sz val="12"/>
      <color rgb="FF7030A0"/>
      <name val="Arial"/>
      <family val="2"/>
    </font>
    <font>
      <b/>
      <sz val="12"/>
      <color rgb="FF7030A0"/>
      <name val="Arial"/>
      <family val="2"/>
    </font>
    <font>
      <b/>
      <sz val="14"/>
      <color rgb="FF00B050"/>
      <name val="Arial"/>
      <family val="2"/>
    </font>
    <font>
      <b/>
      <sz val="14"/>
      <color rgb="FFFF0000"/>
      <name val="Arial"/>
      <family val="2"/>
    </font>
    <font>
      <b/>
      <sz val="12"/>
      <color rgb="FFC00000"/>
      <name val="Arial"/>
      <family val="2"/>
    </font>
    <font>
      <b/>
      <sz val="8"/>
      <name val="Courier"/>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gray125">
        <fgColor indexed="32"/>
        <bgColor indexed="8"/>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thin">
        <color indexed="8"/>
      </bottom>
    </border>
    <border>
      <left/>
      <right/>
      <top/>
      <bottom style="thin"/>
    </border>
    <border>
      <left style="medium"/>
      <right/>
      <top/>
      <bottom/>
    </border>
    <border>
      <left style="medium"/>
      <right/>
      <top/>
      <bottom style="medium"/>
    </border>
    <border>
      <left/>
      <right/>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style="thin"/>
      <right style="thin"/>
      <top style="thin"/>
      <bottom style="thin"/>
    </border>
    <border>
      <left/>
      <right/>
      <top style="thin">
        <color indexed="8"/>
      </top>
      <bottom style="thin">
        <color indexed="8"/>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indexed="8"/>
      </left>
      <right/>
      <top style="thin">
        <color indexed="8"/>
      </top>
      <bottom style="thin">
        <color indexed="8"/>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medium">
        <color theme="1"/>
      </right>
      <top style="medium">
        <color theme="1"/>
      </top>
      <bottom style="medium">
        <color theme="1"/>
      </bottom>
    </border>
    <border>
      <left style="thin">
        <color theme="1"/>
      </left>
      <right style="thin">
        <color theme="1"/>
      </right>
      <top/>
      <bottom/>
    </border>
    <border>
      <left style="thin">
        <color theme="1"/>
      </left>
      <right style="thin">
        <color theme="1"/>
      </right>
      <top/>
      <bottom style="thin">
        <color theme="1"/>
      </bottom>
    </border>
    <border>
      <left style="thin">
        <color theme="1"/>
      </left>
      <right style="thin">
        <color theme="1"/>
      </right>
      <top style="thin">
        <color theme="1"/>
      </top>
      <bottom/>
    </border>
    <border>
      <left style="thin"/>
      <right/>
      <top style="thin"/>
      <bottom style="thin"/>
    </border>
    <border>
      <left/>
      <right style="thin"/>
      <top style="thin"/>
      <bottom style="thin"/>
    </border>
  </borders>
  <cellStyleXfs count="7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0" fontId="2" fillId="0" borderId="0" applyFont="0" applyFill="0" applyBorder="0" applyAlignment="0" applyProtection="0"/>
    <xf numFmtId="41" fontId="0" fillId="0" borderId="0" applyFont="0" applyFill="0" applyBorder="0" applyAlignment="0" applyProtection="0"/>
    <xf numFmtId="43" fontId="5" fillId="0" borderId="0">
      <alignment/>
      <protection/>
    </xf>
    <xf numFmtId="40" fontId="2" fillId="0" borderId="0" applyFont="0" applyFill="0" applyBorder="0" applyAlignment="0" applyProtection="0"/>
    <xf numFmtId="40" fontId="2" fillId="0" borderId="0" applyFont="0" applyFill="0" applyBorder="0" applyAlignment="0" applyProtection="0"/>
    <xf numFmtId="8" fontId="2"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2" fillId="0" borderId="0" applyFont="0" applyFill="0" applyBorder="0" applyAlignment="0" applyProtection="0"/>
    <xf numFmtId="0" fontId="91" fillId="0" borderId="0" applyNumberFormat="0" applyFill="0" applyBorder="0" applyAlignment="0" applyProtection="0"/>
    <xf numFmtId="164"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3" fillId="0" borderId="0">
      <alignment/>
      <protection/>
    </xf>
    <xf numFmtId="164" fontId="0" fillId="0" borderId="0">
      <alignment/>
      <protection/>
    </xf>
    <xf numFmtId="0" fontId="13" fillId="0" borderId="0">
      <alignment/>
      <protection/>
    </xf>
    <xf numFmtId="0" fontId="3" fillId="0" borderId="0">
      <alignment/>
      <protection/>
    </xf>
    <xf numFmtId="0" fontId="3" fillId="0" borderId="0">
      <alignment/>
      <protection/>
    </xf>
    <xf numFmtId="0" fontId="13" fillId="0" borderId="0">
      <alignment/>
      <protection/>
    </xf>
    <xf numFmtId="0" fontId="5" fillId="0" borderId="0">
      <alignment/>
      <protection/>
    </xf>
    <xf numFmtId="0" fontId="0" fillId="32" borderId="7" applyNumberFormat="0" applyFont="0" applyAlignment="0" applyProtection="0"/>
    <xf numFmtId="0" fontId="100" fillId="27" borderId="8"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315">
    <xf numFmtId="164" fontId="0" fillId="0" borderId="0" xfId="0" applyAlignment="1">
      <alignment/>
    </xf>
    <xf numFmtId="0" fontId="13" fillId="0" borderId="0" xfId="65">
      <alignment/>
      <protection/>
    </xf>
    <xf numFmtId="0" fontId="13" fillId="0" borderId="0" xfId="65" applyFont="1" applyAlignment="1">
      <alignment horizontal="left"/>
      <protection/>
    </xf>
    <xf numFmtId="0" fontId="13" fillId="0" borderId="0" xfId="65" applyFont="1">
      <alignment/>
      <protection/>
    </xf>
    <xf numFmtId="0" fontId="3" fillId="0" borderId="0" xfId="66">
      <alignment/>
      <protection/>
    </xf>
    <xf numFmtId="0" fontId="19" fillId="0" borderId="10" xfId="58" applyFont="1" applyBorder="1" applyAlignment="1" applyProtection="1">
      <alignment/>
      <protection/>
    </xf>
    <xf numFmtId="0" fontId="7" fillId="0" borderId="0" xfId="68" applyFont="1">
      <alignment/>
      <protection/>
    </xf>
    <xf numFmtId="0" fontId="7" fillId="0" borderId="11" xfId="68" applyFont="1" applyBorder="1">
      <alignment/>
      <protection/>
    </xf>
    <xf numFmtId="0" fontId="7" fillId="0" borderId="10" xfId="68" applyFont="1" applyBorder="1">
      <alignment/>
      <protection/>
    </xf>
    <xf numFmtId="0" fontId="26" fillId="0" borderId="10" xfId="68" applyFont="1" applyBorder="1">
      <alignment/>
      <protection/>
    </xf>
    <xf numFmtId="0" fontId="19" fillId="0" borderId="10" xfId="59" applyFont="1" applyBorder="1" applyAlignment="1" applyProtection="1">
      <alignment/>
      <protection/>
    </xf>
    <xf numFmtId="0" fontId="8" fillId="0" borderId="10" xfId="68" applyFont="1" applyBorder="1">
      <alignment/>
      <protection/>
    </xf>
    <xf numFmtId="0" fontId="7" fillId="0" borderId="12" xfId="68" applyFont="1" applyBorder="1">
      <alignment/>
      <protection/>
    </xf>
    <xf numFmtId="0" fontId="7" fillId="0" borderId="0" xfId="68" applyFont="1" applyBorder="1">
      <alignment/>
      <protection/>
    </xf>
    <xf numFmtId="37" fontId="7" fillId="0" borderId="0" xfId="68" applyNumberFormat="1" applyFont="1" applyProtection="1">
      <alignment/>
      <protection/>
    </xf>
    <xf numFmtId="0" fontId="7" fillId="0" borderId="13" xfId="68" applyFont="1" applyBorder="1">
      <alignment/>
      <protection/>
    </xf>
    <xf numFmtId="0" fontId="8" fillId="0" borderId="0" xfId="68" applyFont="1">
      <alignment/>
      <protection/>
    </xf>
    <xf numFmtId="0" fontId="7" fillId="0" borderId="14" xfId="68" applyFont="1" applyBorder="1">
      <alignment/>
      <protection/>
    </xf>
    <xf numFmtId="37" fontId="7" fillId="0" borderId="0" xfId="68" applyNumberFormat="1" applyFont="1">
      <alignment/>
      <protection/>
    </xf>
    <xf numFmtId="0" fontId="7" fillId="0" borderId="15" xfId="68" applyFont="1" applyBorder="1">
      <alignment/>
      <protection/>
    </xf>
    <xf numFmtId="37" fontId="7" fillId="0" borderId="0" xfId="68" applyNumberFormat="1" applyFont="1" applyBorder="1" applyProtection="1">
      <alignment/>
      <protection/>
    </xf>
    <xf numFmtId="166" fontId="7" fillId="0" borderId="0" xfId="68" applyNumberFormat="1" applyFont="1" applyProtection="1">
      <alignment/>
      <protection/>
    </xf>
    <xf numFmtId="37" fontId="7" fillId="0" borderId="0" xfId="68" applyNumberFormat="1" applyFont="1" applyAlignment="1" applyProtection="1">
      <alignment horizontal="center"/>
      <protection/>
    </xf>
    <xf numFmtId="37" fontId="31" fillId="0" borderId="0" xfId="68" applyNumberFormat="1" applyFont="1" applyProtection="1">
      <alignment/>
      <protection/>
    </xf>
    <xf numFmtId="0" fontId="33" fillId="0" borderId="0" xfId="68" applyFont="1">
      <alignment/>
      <protection/>
    </xf>
    <xf numFmtId="0" fontId="26" fillId="0" borderId="0" xfId="68" applyFont="1">
      <alignment/>
      <protection/>
    </xf>
    <xf numFmtId="0" fontId="19" fillId="0" borderId="0" xfId="59" applyFont="1" applyAlignment="1" applyProtection="1">
      <alignment/>
      <protection/>
    </xf>
    <xf numFmtId="41" fontId="7" fillId="0" borderId="0" xfId="68" applyNumberFormat="1" applyFont="1">
      <alignment/>
      <protection/>
    </xf>
    <xf numFmtId="41" fontId="36" fillId="0" borderId="0" xfId="68" applyNumberFormat="1" applyFont="1" applyAlignment="1">
      <alignment horizontal="right"/>
      <protection/>
    </xf>
    <xf numFmtId="41" fontId="36" fillId="0" borderId="0" xfId="68" applyNumberFormat="1" applyFont="1">
      <alignment/>
      <protection/>
    </xf>
    <xf numFmtId="0" fontId="7" fillId="0" borderId="0" xfId="68" applyFont="1" applyBorder="1" applyProtection="1">
      <alignment/>
      <protection locked="0"/>
    </xf>
    <xf numFmtId="41" fontId="7" fillId="0" borderId="0" xfId="68" applyNumberFormat="1" applyFont="1" applyAlignment="1">
      <alignment horizontal="right"/>
      <protection/>
    </xf>
    <xf numFmtId="41" fontId="28" fillId="0" borderId="0" xfId="68" applyNumberFormat="1" applyFont="1">
      <alignment/>
      <protection/>
    </xf>
    <xf numFmtId="167" fontId="7" fillId="0" borderId="0" xfId="68" applyNumberFormat="1" applyFont="1">
      <alignment/>
      <protection/>
    </xf>
    <xf numFmtId="3" fontId="27" fillId="0" borderId="16" xfId="68" applyNumberFormat="1" applyFont="1" applyFill="1" applyBorder="1" applyAlignment="1">
      <alignment horizontal="right"/>
      <protection/>
    </xf>
    <xf numFmtId="0" fontId="7" fillId="0" borderId="0" xfId="68" applyFont="1" applyFill="1">
      <alignment/>
      <protection/>
    </xf>
    <xf numFmtId="0" fontId="7" fillId="0" borderId="0" xfId="68" applyFont="1" applyAlignment="1">
      <alignment horizontal="center"/>
      <protection/>
    </xf>
    <xf numFmtId="0" fontId="7" fillId="0" borderId="0" xfId="68" applyFont="1" applyAlignment="1">
      <alignment horizontal="fill"/>
      <protection/>
    </xf>
    <xf numFmtId="0" fontId="7" fillId="0" borderId="16" xfId="68" applyFont="1" applyBorder="1">
      <alignment/>
      <protection/>
    </xf>
    <xf numFmtId="0" fontId="7" fillId="33" borderId="0" xfId="68" applyFont="1" applyFill="1" applyBorder="1">
      <alignment/>
      <protection/>
    </xf>
    <xf numFmtId="3" fontId="7" fillId="33" borderId="16" xfId="68" applyNumberFormat="1" applyFont="1" applyFill="1" applyBorder="1">
      <alignment/>
      <protection/>
    </xf>
    <xf numFmtId="0" fontId="7" fillId="0" borderId="17" xfId="68" applyFont="1" applyBorder="1">
      <alignment/>
      <protection/>
    </xf>
    <xf numFmtId="10" fontId="7" fillId="0" borderId="0" xfId="72" applyNumberFormat="1" applyFont="1" applyBorder="1" applyAlignment="1">
      <alignment/>
    </xf>
    <xf numFmtId="0" fontId="30" fillId="0" borderId="17" xfId="68" applyFont="1" applyBorder="1" applyProtection="1">
      <alignment/>
      <protection locked="0"/>
    </xf>
    <xf numFmtId="9" fontId="7" fillId="0" borderId="0" xfId="68" applyNumberFormat="1" applyFont="1" applyBorder="1" applyProtection="1">
      <alignment/>
      <protection/>
    </xf>
    <xf numFmtId="40" fontId="7" fillId="0" borderId="0" xfId="42" applyFont="1" applyBorder="1" applyAlignment="1" applyProtection="1">
      <alignment/>
      <protection/>
    </xf>
    <xf numFmtId="0" fontId="31" fillId="0" borderId="17" xfId="68" applyFont="1" applyBorder="1" applyProtection="1">
      <alignment/>
      <protection locked="0"/>
    </xf>
    <xf numFmtId="172" fontId="7" fillId="0" borderId="0" xfId="68" applyNumberFormat="1" applyFont="1" applyBorder="1">
      <alignment/>
      <protection/>
    </xf>
    <xf numFmtId="0" fontId="19" fillId="0" borderId="17" xfId="59" applyFont="1" applyBorder="1" applyAlignment="1" applyProtection="1">
      <alignment/>
      <protection locked="0"/>
    </xf>
    <xf numFmtId="0" fontId="32" fillId="0" borderId="0" xfId="59" applyFont="1" applyBorder="1" applyAlignment="1" applyProtection="1">
      <alignment/>
      <protection/>
    </xf>
    <xf numFmtId="0" fontId="7" fillId="34" borderId="17" xfId="68" applyFont="1" applyFill="1" applyBorder="1">
      <alignment/>
      <protection/>
    </xf>
    <xf numFmtId="0" fontId="7" fillId="35" borderId="17" xfId="68" applyFont="1" applyFill="1" applyBorder="1" applyProtection="1">
      <alignment/>
      <protection locked="0"/>
    </xf>
    <xf numFmtId="0" fontId="7" fillId="36" borderId="17" xfId="68" applyFont="1" applyFill="1" applyBorder="1">
      <alignment/>
      <protection/>
    </xf>
    <xf numFmtId="0" fontId="7" fillId="37" borderId="0" xfId="68" applyFont="1" applyFill="1" applyBorder="1">
      <alignment/>
      <protection/>
    </xf>
    <xf numFmtId="0" fontId="7" fillId="38" borderId="17" xfId="59" applyFont="1" applyFill="1" applyBorder="1" applyAlignment="1" applyProtection="1">
      <alignment/>
      <protection locked="0"/>
    </xf>
    <xf numFmtId="0" fontId="7" fillId="0" borderId="17" xfId="68" applyFont="1" applyBorder="1" applyProtection="1">
      <alignment/>
      <protection locked="0"/>
    </xf>
    <xf numFmtId="0" fontId="7" fillId="39" borderId="17" xfId="68" applyFont="1" applyFill="1" applyBorder="1" applyProtection="1">
      <alignment/>
      <protection locked="0"/>
    </xf>
    <xf numFmtId="0" fontId="7" fillId="40" borderId="0" xfId="68" applyFont="1" applyFill="1" applyBorder="1">
      <alignment/>
      <protection/>
    </xf>
    <xf numFmtId="0" fontId="7" fillId="40" borderId="17" xfId="68" applyFont="1" applyFill="1" applyBorder="1" applyProtection="1">
      <alignment/>
      <protection locked="0"/>
    </xf>
    <xf numFmtId="37" fontId="7" fillId="0" borderId="0" xfId="68" applyNumberFormat="1" applyFont="1" applyBorder="1">
      <alignment/>
      <protection/>
    </xf>
    <xf numFmtId="0" fontId="9" fillId="0" borderId="17" xfId="68" applyFont="1" applyBorder="1" applyProtection="1">
      <alignment/>
      <protection locked="0"/>
    </xf>
    <xf numFmtId="0" fontId="33" fillId="0" borderId="0" xfId="68" applyFont="1" applyBorder="1">
      <alignment/>
      <protection/>
    </xf>
    <xf numFmtId="0" fontId="19" fillId="0" borderId="17" xfId="68" applyFont="1" applyBorder="1" applyProtection="1">
      <alignment/>
      <protection locked="0"/>
    </xf>
    <xf numFmtId="0" fontId="26" fillId="0" borderId="0" xfId="68" applyFont="1" applyBorder="1">
      <alignment/>
      <protection/>
    </xf>
    <xf numFmtId="0" fontId="7" fillId="41" borderId="0" xfId="68" applyFont="1" applyFill="1" applyBorder="1">
      <alignment/>
      <protection/>
    </xf>
    <xf numFmtId="0" fontId="19" fillId="0" borderId="17" xfId="59" applyFont="1" applyBorder="1" applyAlignment="1" applyProtection="1">
      <alignment/>
      <protection/>
    </xf>
    <xf numFmtId="0" fontId="35" fillId="0" borderId="17" xfId="68" applyFont="1" applyBorder="1" applyProtection="1">
      <alignment/>
      <protection locked="0"/>
    </xf>
    <xf numFmtId="0" fontId="35" fillId="0" borderId="18" xfId="68" applyFont="1" applyBorder="1" applyProtection="1">
      <alignment/>
      <protection locked="0"/>
    </xf>
    <xf numFmtId="0" fontId="7" fillId="0" borderId="19" xfId="68" applyFont="1" applyBorder="1">
      <alignment/>
      <protection/>
    </xf>
    <xf numFmtId="0" fontId="7" fillId="37" borderId="20" xfId="68" applyFont="1" applyFill="1" applyBorder="1" applyProtection="1">
      <alignment/>
      <protection locked="0"/>
    </xf>
    <xf numFmtId="0" fontId="7" fillId="37" borderId="21" xfId="68" applyFont="1" applyFill="1" applyBorder="1">
      <alignment/>
      <protection/>
    </xf>
    <xf numFmtId="0" fontId="7" fillId="37" borderId="22" xfId="68" applyFont="1" applyFill="1" applyBorder="1" applyProtection="1">
      <alignment/>
      <protection locked="0"/>
    </xf>
    <xf numFmtId="0" fontId="7" fillId="37" borderId="23" xfId="68" applyFont="1" applyFill="1" applyBorder="1">
      <alignment/>
      <protection/>
    </xf>
    <xf numFmtId="0" fontId="7" fillId="37" borderId="22" xfId="68" applyFont="1" applyFill="1" applyBorder="1" applyProtection="1" quotePrefix="1">
      <alignment/>
      <protection locked="0"/>
    </xf>
    <xf numFmtId="0" fontId="7" fillId="37" borderId="22" xfId="68" applyFont="1" applyFill="1" applyBorder="1">
      <alignment/>
      <protection/>
    </xf>
    <xf numFmtId="9" fontId="7" fillId="37" borderId="0" xfId="68" applyNumberFormat="1" applyFont="1" applyFill="1" applyBorder="1" applyProtection="1">
      <alignment/>
      <protection/>
    </xf>
    <xf numFmtId="0" fontId="7" fillId="37" borderId="24" xfId="68" applyFont="1" applyFill="1" applyBorder="1">
      <alignment/>
      <protection/>
    </xf>
    <xf numFmtId="0" fontId="7" fillId="37" borderId="16" xfId="68" applyFont="1" applyFill="1" applyBorder="1">
      <alignment/>
      <protection/>
    </xf>
    <xf numFmtId="0" fontId="39" fillId="0" borderId="0" xfId="65" applyFont="1">
      <alignment/>
      <protection/>
    </xf>
    <xf numFmtId="0" fontId="41" fillId="0" borderId="0" xfId="69" applyFont="1">
      <alignment/>
      <protection/>
    </xf>
    <xf numFmtId="0" fontId="42" fillId="0" borderId="0" xfId="69" applyFont="1" applyAlignment="1">
      <alignment horizontal="center"/>
      <protection/>
    </xf>
    <xf numFmtId="0" fontId="42" fillId="0" borderId="0" xfId="69" applyFont="1">
      <alignment/>
      <protection/>
    </xf>
    <xf numFmtId="0" fontId="41" fillId="0" borderId="0" xfId="69" applyFont="1" applyAlignment="1">
      <alignment horizontal="center"/>
      <protection/>
    </xf>
    <xf numFmtId="0" fontId="42" fillId="42" borderId="0" xfId="69" applyFont="1" applyFill="1" applyAlignment="1">
      <alignment horizontal="center"/>
      <protection/>
    </xf>
    <xf numFmtId="0" fontId="41" fillId="42" borderId="0" xfId="69" applyFont="1" applyFill="1">
      <alignment/>
      <protection/>
    </xf>
    <xf numFmtId="0" fontId="42" fillId="42" borderId="0" xfId="69" applyFont="1" applyFill="1">
      <alignment/>
      <protection/>
    </xf>
    <xf numFmtId="0" fontId="43" fillId="42" borderId="0" xfId="69" applyFont="1" applyFill="1">
      <alignment/>
      <protection/>
    </xf>
    <xf numFmtId="0" fontId="42" fillId="42" borderId="0" xfId="69" applyFont="1" applyFill="1" applyAlignment="1">
      <alignment horizontal="right"/>
      <protection/>
    </xf>
    <xf numFmtId="0" fontId="41" fillId="0" borderId="16" xfId="69" applyFont="1" applyBorder="1">
      <alignment/>
      <protection/>
    </xf>
    <xf numFmtId="0" fontId="44" fillId="33" borderId="21" xfId="69" applyFont="1" applyFill="1" applyBorder="1">
      <alignment/>
      <protection/>
    </xf>
    <xf numFmtId="2" fontId="44" fillId="33" borderId="21" xfId="69" applyNumberFormat="1" applyFont="1" applyFill="1" applyBorder="1">
      <alignment/>
      <protection/>
    </xf>
    <xf numFmtId="0" fontId="44" fillId="0" borderId="0" xfId="69" applyFont="1">
      <alignment/>
      <protection/>
    </xf>
    <xf numFmtId="2" fontId="44" fillId="33" borderId="19" xfId="69" applyNumberFormat="1" applyFont="1" applyFill="1" applyBorder="1">
      <alignment/>
      <protection/>
    </xf>
    <xf numFmtId="0" fontId="41" fillId="0" borderId="19" xfId="69" applyFont="1" applyBorder="1">
      <alignment/>
      <protection/>
    </xf>
    <xf numFmtId="2" fontId="41" fillId="0" borderId="0" xfId="69" applyNumberFormat="1" applyFont="1">
      <alignment/>
      <protection/>
    </xf>
    <xf numFmtId="0" fontId="45" fillId="0" borderId="0" xfId="69" applyFont="1">
      <alignment/>
      <protection/>
    </xf>
    <xf numFmtId="2" fontId="45" fillId="0" borderId="0" xfId="69" applyNumberFormat="1" applyFont="1">
      <alignment/>
      <protection/>
    </xf>
    <xf numFmtId="0" fontId="46" fillId="0" borderId="0" xfId="69" applyFont="1">
      <alignment/>
      <protection/>
    </xf>
    <xf numFmtId="0" fontId="46" fillId="0" borderId="0" xfId="69" applyFont="1" applyAlignment="1">
      <alignment horizontal="left" indent="8"/>
      <protection/>
    </xf>
    <xf numFmtId="0" fontId="5" fillId="0" borderId="0" xfId="69">
      <alignment/>
      <protection/>
    </xf>
    <xf numFmtId="2" fontId="5" fillId="0" borderId="0" xfId="69" applyNumberFormat="1">
      <alignment/>
      <protection/>
    </xf>
    <xf numFmtId="14" fontId="104" fillId="43" borderId="16" xfId="68" applyNumberFormat="1" applyFont="1" applyFill="1" applyBorder="1" applyAlignment="1">
      <alignment horizontal="center"/>
      <protection/>
    </xf>
    <xf numFmtId="0" fontId="105" fillId="0" borderId="0" xfId="68" applyFont="1" applyAlignment="1">
      <alignment horizontal="center"/>
      <protection/>
    </xf>
    <xf numFmtId="14" fontId="104" fillId="43" borderId="0" xfId="68" applyNumberFormat="1" applyFont="1" applyFill="1" applyBorder="1" applyAlignment="1">
      <alignment horizontal="center"/>
      <protection/>
    </xf>
    <xf numFmtId="0" fontId="105" fillId="0" borderId="0" xfId="68" applyFont="1">
      <alignment/>
      <protection/>
    </xf>
    <xf numFmtId="0" fontId="106" fillId="0" borderId="17" xfId="68" applyFont="1" applyBorder="1" applyProtection="1">
      <alignment/>
      <protection locked="0"/>
    </xf>
    <xf numFmtId="0" fontId="107" fillId="0" borderId="0" xfId="68" applyFont="1" applyBorder="1">
      <alignment/>
      <protection/>
    </xf>
    <xf numFmtId="0" fontId="19" fillId="0" borderId="17" xfId="58" applyFont="1" applyBorder="1" applyAlignment="1" applyProtection="1">
      <alignment/>
      <protection locked="0"/>
    </xf>
    <xf numFmtId="37" fontId="7" fillId="0" borderId="0" xfId="68" applyNumberFormat="1" applyFont="1" applyFill="1" applyBorder="1" applyProtection="1">
      <alignment/>
      <protection/>
    </xf>
    <xf numFmtId="0" fontId="7" fillId="0" borderId="0" xfId="68" applyFont="1" applyFill="1" applyBorder="1">
      <alignment/>
      <protection/>
    </xf>
    <xf numFmtId="37" fontId="52" fillId="0" borderId="0" xfId="68" applyNumberFormat="1" applyFont="1" applyBorder="1" applyProtection="1">
      <alignment/>
      <protection/>
    </xf>
    <xf numFmtId="37" fontId="50" fillId="41" borderId="0" xfId="68" applyNumberFormat="1" applyFont="1" applyFill="1" applyBorder="1" applyProtection="1">
      <alignment/>
      <protection/>
    </xf>
    <xf numFmtId="37" fontId="50" fillId="41" borderId="13" xfId="68" applyNumberFormat="1" applyFont="1" applyFill="1" applyBorder="1" applyProtection="1">
      <alignment/>
      <protection/>
    </xf>
    <xf numFmtId="37" fontId="53" fillId="0" borderId="0" xfId="68" applyNumberFormat="1" applyFont="1" applyBorder="1" applyProtection="1">
      <alignment/>
      <protection/>
    </xf>
    <xf numFmtId="37" fontId="53" fillId="41" borderId="13" xfId="68" applyNumberFormat="1" applyFont="1" applyFill="1" applyBorder="1" applyProtection="1">
      <alignment/>
      <protection/>
    </xf>
    <xf numFmtId="37" fontId="53" fillId="0" borderId="0" xfId="68" applyNumberFormat="1" applyFont="1" applyFill="1" applyBorder="1" applyProtection="1">
      <alignment/>
      <protection/>
    </xf>
    <xf numFmtId="0" fontId="53" fillId="0" borderId="0" xfId="68" applyFont="1" applyFill="1" applyBorder="1">
      <alignment/>
      <protection/>
    </xf>
    <xf numFmtId="0" fontId="53" fillId="0" borderId="0" xfId="68" applyFont="1" applyBorder="1">
      <alignment/>
      <protection/>
    </xf>
    <xf numFmtId="37" fontId="59" fillId="0" borderId="0" xfId="68" applyNumberFormat="1" applyFont="1" applyBorder="1" applyProtection="1">
      <alignment/>
      <protection/>
    </xf>
    <xf numFmtId="37" fontId="56" fillId="37" borderId="25" xfId="68" applyNumberFormat="1" applyFont="1" applyFill="1" applyBorder="1" applyProtection="1">
      <alignment/>
      <protection/>
    </xf>
    <xf numFmtId="37" fontId="48" fillId="37" borderId="25" xfId="68" applyNumberFormat="1" applyFont="1" applyFill="1" applyBorder="1" applyProtection="1">
      <alignment/>
      <protection/>
    </xf>
    <xf numFmtId="37" fontId="51" fillId="37" borderId="25" xfId="68" applyNumberFormat="1" applyFont="1" applyFill="1" applyBorder="1" applyProtection="1">
      <alignment/>
      <protection/>
    </xf>
    <xf numFmtId="0" fontId="7" fillId="0" borderId="26" xfId="68" applyFont="1" applyBorder="1">
      <alignment/>
      <protection/>
    </xf>
    <xf numFmtId="37" fontId="58" fillId="0" borderId="0" xfId="68" applyNumberFormat="1" applyFont="1" applyFill="1" applyBorder="1" applyProtection="1">
      <alignment/>
      <protection/>
    </xf>
    <xf numFmtId="0" fontId="7" fillId="44" borderId="27" xfId="68" applyFont="1" applyFill="1" applyBorder="1">
      <alignment/>
      <protection/>
    </xf>
    <xf numFmtId="0" fontId="7" fillId="44" borderId="28" xfId="68" applyFont="1" applyFill="1" applyBorder="1">
      <alignment/>
      <protection/>
    </xf>
    <xf numFmtId="0" fontId="7" fillId="0" borderId="28" xfId="68" applyFont="1" applyFill="1" applyBorder="1">
      <alignment/>
      <protection/>
    </xf>
    <xf numFmtId="0" fontId="7" fillId="0" borderId="29" xfId="68" applyFont="1" applyFill="1" applyBorder="1">
      <alignment/>
      <protection/>
    </xf>
    <xf numFmtId="0" fontId="7" fillId="45" borderId="27" xfId="68" applyFont="1" applyFill="1" applyBorder="1">
      <alignment/>
      <protection/>
    </xf>
    <xf numFmtId="0" fontId="7" fillId="45" borderId="28" xfId="68" applyFont="1" applyFill="1" applyBorder="1">
      <alignment/>
      <protection/>
    </xf>
    <xf numFmtId="0" fontId="7" fillId="46" borderId="27" xfId="68" applyFont="1" applyFill="1" applyBorder="1">
      <alignment/>
      <protection/>
    </xf>
    <xf numFmtId="0" fontId="7" fillId="46" borderId="28" xfId="68" applyFont="1" applyFill="1" applyBorder="1">
      <alignment/>
      <protection/>
    </xf>
    <xf numFmtId="0" fontId="7" fillId="10" borderId="27" xfId="68" applyFont="1" applyFill="1" applyBorder="1">
      <alignment/>
      <protection/>
    </xf>
    <xf numFmtId="0" fontId="7" fillId="10" borderId="28" xfId="68" applyFont="1" applyFill="1" applyBorder="1">
      <alignment/>
      <protection/>
    </xf>
    <xf numFmtId="0" fontId="7" fillId="17" borderId="27" xfId="68" applyFont="1" applyFill="1" applyBorder="1">
      <alignment/>
      <protection/>
    </xf>
    <xf numFmtId="0" fontId="7" fillId="17" borderId="28" xfId="68" applyFont="1" applyFill="1" applyBorder="1">
      <alignment/>
      <protection/>
    </xf>
    <xf numFmtId="0" fontId="7" fillId="47" borderId="27" xfId="68" applyFont="1" applyFill="1" applyBorder="1">
      <alignment/>
      <protection/>
    </xf>
    <xf numFmtId="0" fontId="7" fillId="47" borderId="28" xfId="68" applyFont="1" applyFill="1" applyBorder="1">
      <alignment/>
      <protection/>
    </xf>
    <xf numFmtId="0" fontId="7" fillId="48" borderId="27" xfId="68" applyFont="1" applyFill="1" applyBorder="1">
      <alignment/>
      <protection/>
    </xf>
    <xf numFmtId="0" fontId="7" fillId="48" borderId="28" xfId="68" applyFont="1" applyFill="1" applyBorder="1">
      <alignment/>
      <protection/>
    </xf>
    <xf numFmtId="0" fontId="7" fillId="49" borderId="27" xfId="68" applyFont="1" applyFill="1" applyBorder="1">
      <alignment/>
      <protection/>
    </xf>
    <xf numFmtId="0" fontId="7" fillId="49" borderId="28" xfId="68" applyFont="1" applyFill="1" applyBorder="1">
      <alignment/>
      <protection/>
    </xf>
    <xf numFmtId="37" fontId="57" fillId="0" borderId="30" xfId="68" applyNumberFormat="1" applyFont="1" applyFill="1" applyBorder="1" applyProtection="1">
      <alignment/>
      <protection locked="0"/>
    </xf>
    <xf numFmtId="37" fontId="53" fillId="0" borderId="30" xfId="68" applyNumberFormat="1" applyFont="1" applyFill="1" applyBorder="1" applyProtection="1">
      <alignment/>
      <protection/>
    </xf>
    <xf numFmtId="166" fontId="49" fillId="0" borderId="30" xfId="68" applyNumberFormat="1" applyFont="1" applyBorder="1" applyProtection="1">
      <alignment/>
      <protection locked="0"/>
    </xf>
    <xf numFmtId="166" fontId="50" fillId="0" borderId="30" xfId="68" applyNumberFormat="1" applyFont="1" applyBorder="1" applyProtection="1">
      <alignment/>
      <protection/>
    </xf>
    <xf numFmtId="37" fontId="108" fillId="0" borderId="30" xfId="68" applyNumberFormat="1" applyFont="1" applyBorder="1" applyProtection="1">
      <alignment/>
      <protection/>
    </xf>
    <xf numFmtId="0" fontId="29" fillId="34" borderId="27" xfId="68" applyFont="1" applyFill="1" applyBorder="1">
      <alignment/>
      <protection/>
    </xf>
    <xf numFmtId="0" fontId="7" fillId="35" borderId="27" xfId="68" applyFont="1" applyFill="1" applyBorder="1">
      <alignment/>
      <protection/>
    </xf>
    <xf numFmtId="0" fontId="29" fillId="38" borderId="27" xfId="68" applyFont="1" applyFill="1" applyBorder="1">
      <alignment/>
      <protection/>
    </xf>
    <xf numFmtId="0" fontId="29" fillId="38" borderId="31" xfId="68" applyFont="1" applyFill="1" applyBorder="1">
      <alignment/>
      <protection/>
    </xf>
    <xf numFmtId="0" fontId="7" fillId="0" borderId="32" xfId="68" applyFont="1" applyFill="1" applyBorder="1">
      <alignment/>
      <protection/>
    </xf>
    <xf numFmtId="0" fontId="7" fillId="0" borderId="33" xfId="68" applyFont="1" applyFill="1" applyBorder="1">
      <alignment/>
      <protection/>
    </xf>
    <xf numFmtId="0" fontId="8" fillId="0" borderId="27" xfId="68" applyFont="1" applyBorder="1">
      <alignment/>
      <protection/>
    </xf>
    <xf numFmtId="0" fontId="8" fillId="0" borderId="28" xfId="68" applyFont="1" applyBorder="1">
      <alignment/>
      <protection/>
    </xf>
    <xf numFmtId="0" fontId="8" fillId="0" borderId="29" xfId="68" applyFont="1" applyBorder="1">
      <alignment/>
      <protection/>
    </xf>
    <xf numFmtId="0" fontId="34" fillId="0" borderId="27" xfId="68" applyFont="1" applyBorder="1">
      <alignment/>
      <protection/>
    </xf>
    <xf numFmtId="0" fontId="34" fillId="0" borderId="28" xfId="68" applyFont="1" applyBorder="1">
      <alignment/>
      <protection/>
    </xf>
    <xf numFmtId="0" fontId="34" fillId="0" borderId="29" xfId="68" applyFont="1" applyBorder="1">
      <alignment/>
      <protection/>
    </xf>
    <xf numFmtId="0" fontId="7" fillId="0" borderId="27" xfId="68" applyFont="1" applyBorder="1">
      <alignment/>
      <protection/>
    </xf>
    <xf numFmtId="0" fontId="7" fillId="0" borderId="28" xfId="68" applyFont="1" applyBorder="1">
      <alignment/>
      <protection/>
    </xf>
    <xf numFmtId="0" fontId="7" fillId="0" borderId="29" xfId="68" applyFont="1" applyBorder="1">
      <alignment/>
      <protection/>
    </xf>
    <xf numFmtId="0" fontId="31" fillId="0" borderId="28" xfId="59" applyFont="1" applyBorder="1" applyAlignment="1" applyProtection="1">
      <alignment/>
      <protection/>
    </xf>
    <xf numFmtId="0" fontId="34" fillId="43" borderId="34" xfId="68" applyFont="1" applyFill="1" applyBorder="1">
      <alignment/>
      <protection/>
    </xf>
    <xf numFmtId="0" fontId="7" fillId="43" borderId="26" xfId="68" applyFont="1" applyFill="1" applyBorder="1">
      <alignment/>
      <protection/>
    </xf>
    <xf numFmtId="3" fontId="104" fillId="43" borderId="30" xfId="68" applyNumberFormat="1" applyFont="1" applyFill="1" applyBorder="1" applyAlignment="1">
      <alignment horizontal="right"/>
      <protection/>
    </xf>
    <xf numFmtId="37" fontId="54" fillId="0" borderId="30" xfId="68" applyNumberFormat="1" applyFont="1" applyBorder="1" applyProtection="1">
      <alignment/>
      <protection/>
    </xf>
    <xf numFmtId="37" fontId="53" fillId="0" borderId="30" xfId="68" applyNumberFormat="1" applyFont="1" applyBorder="1">
      <alignment/>
      <protection/>
    </xf>
    <xf numFmtId="37" fontId="53" fillId="0" borderId="27" xfId="68" applyNumberFormat="1" applyFont="1" applyBorder="1" applyProtection="1">
      <alignment/>
      <protection/>
    </xf>
    <xf numFmtId="37" fontId="53" fillId="0" borderId="28" xfId="68" applyNumberFormat="1" applyFont="1" applyBorder="1" applyProtection="1">
      <alignment/>
      <protection/>
    </xf>
    <xf numFmtId="37" fontId="53" fillId="0" borderId="29" xfId="68" applyNumberFormat="1" applyFont="1" applyBorder="1" applyProtection="1">
      <alignment/>
      <protection/>
    </xf>
    <xf numFmtId="0" fontId="34" fillId="0" borderId="35" xfId="68" applyFont="1" applyBorder="1">
      <alignment/>
      <protection/>
    </xf>
    <xf numFmtId="0" fontId="34" fillId="0" borderId="36" xfId="68" applyFont="1" applyBorder="1">
      <alignment/>
      <protection/>
    </xf>
    <xf numFmtId="0" fontId="34" fillId="0" borderId="37" xfId="68" applyFont="1" applyBorder="1">
      <alignment/>
      <protection/>
    </xf>
    <xf numFmtId="3" fontId="55" fillId="33" borderId="38" xfId="68" applyNumberFormat="1" applyFont="1" applyFill="1" applyBorder="1">
      <alignment/>
      <protection/>
    </xf>
    <xf numFmtId="0" fontId="57" fillId="0" borderId="30" xfId="68" applyFont="1" applyFill="1" applyBorder="1" applyAlignment="1" applyProtection="1">
      <alignment horizontal="center"/>
      <protection locked="0"/>
    </xf>
    <xf numFmtId="14" fontId="109" fillId="50" borderId="30" xfId="68" applyNumberFormat="1" applyFont="1" applyFill="1" applyBorder="1" applyAlignment="1">
      <alignment horizontal="center"/>
      <protection/>
    </xf>
    <xf numFmtId="0" fontId="53" fillId="0" borderId="30" xfId="68" applyFont="1" applyFill="1" applyBorder="1">
      <alignment/>
      <protection/>
    </xf>
    <xf numFmtId="0" fontId="57" fillId="0" borderId="30" xfId="68" applyFont="1" applyFill="1" applyBorder="1">
      <alignment/>
      <protection/>
    </xf>
    <xf numFmtId="0" fontId="104" fillId="0" borderId="30" xfId="68" applyFont="1" applyFill="1" applyBorder="1" applyProtection="1">
      <alignment/>
      <protection locked="0"/>
    </xf>
    <xf numFmtId="10" fontId="57" fillId="0" borderId="30" xfId="72" applyNumberFormat="1" applyFont="1" applyFill="1" applyBorder="1" applyAlignment="1" applyProtection="1">
      <alignment/>
      <protection locked="0"/>
    </xf>
    <xf numFmtId="165" fontId="57" fillId="0" borderId="30" xfId="68" applyNumberFormat="1" applyFont="1" applyFill="1" applyBorder="1" applyProtection="1">
      <alignment/>
      <protection locked="0"/>
    </xf>
    <xf numFmtId="37" fontId="104" fillId="0" borderId="30" xfId="68" applyNumberFormat="1" applyFont="1" applyFill="1" applyBorder="1" applyProtection="1">
      <alignment/>
      <protection locked="0"/>
    </xf>
    <xf numFmtId="10" fontId="48" fillId="0" borderId="30" xfId="72" applyNumberFormat="1" applyFont="1" applyFill="1" applyBorder="1" applyAlignment="1" applyProtection="1">
      <alignment/>
      <protection locked="0"/>
    </xf>
    <xf numFmtId="169" fontId="104" fillId="0" borderId="30" xfId="72" applyNumberFormat="1" applyFont="1" applyFill="1" applyBorder="1" applyAlignment="1">
      <alignment horizontal="center"/>
    </xf>
    <xf numFmtId="0" fontId="57" fillId="0" borderId="30" xfId="68" applyFont="1" applyFill="1" applyBorder="1" applyProtection="1">
      <alignment/>
      <protection locked="0"/>
    </xf>
    <xf numFmtId="0" fontId="60" fillId="0" borderId="30" xfId="68" applyFont="1" applyFill="1" applyBorder="1" applyProtection="1">
      <alignment/>
      <protection locked="0"/>
    </xf>
    <xf numFmtId="0" fontId="60" fillId="0" borderId="30" xfId="68" applyFont="1" applyFill="1" applyBorder="1" applyAlignment="1" applyProtection="1">
      <alignment horizontal="center"/>
      <protection locked="0"/>
    </xf>
    <xf numFmtId="10" fontId="53" fillId="0" borderId="30" xfId="72" applyNumberFormat="1" applyFont="1" applyFill="1" applyBorder="1" applyAlignment="1" applyProtection="1">
      <alignment/>
      <protection locked="0"/>
    </xf>
    <xf numFmtId="0" fontId="7" fillId="0" borderId="39" xfId="68" applyFont="1" applyBorder="1">
      <alignment/>
      <protection/>
    </xf>
    <xf numFmtId="0" fontId="7" fillId="0" borderId="39" xfId="68" applyFont="1" applyBorder="1" applyAlignment="1">
      <alignment horizontal="center"/>
      <protection/>
    </xf>
    <xf numFmtId="0" fontId="110" fillId="0" borderId="39" xfId="68" applyFont="1" applyBorder="1" applyAlignment="1">
      <alignment horizontal="center"/>
      <protection/>
    </xf>
    <xf numFmtId="0" fontId="7" fillId="0" borderId="40" xfId="68" applyFont="1" applyBorder="1" applyAlignment="1">
      <alignment horizontal="center"/>
      <protection/>
    </xf>
    <xf numFmtId="0" fontId="7" fillId="0" borderId="40" xfId="68" applyFont="1" applyBorder="1">
      <alignment/>
      <protection/>
    </xf>
    <xf numFmtId="0" fontId="110" fillId="0" borderId="40" xfId="68" applyFont="1" applyBorder="1" applyAlignment="1">
      <alignment horizontal="center"/>
      <protection/>
    </xf>
    <xf numFmtId="37" fontId="7" fillId="0" borderId="40" xfId="68" applyNumberFormat="1" applyFont="1" applyBorder="1" applyProtection="1">
      <alignment/>
      <protection/>
    </xf>
    <xf numFmtId="0" fontId="7" fillId="0" borderId="41" xfId="68" applyFont="1" applyBorder="1" applyAlignment="1">
      <alignment horizontal="center"/>
      <protection/>
    </xf>
    <xf numFmtId="0" fontId="7" fillId="0" borderId="41" xfId="68" applyFont="1" applyBorder="1">
      <alignment/>
      <protection/>
    </xf>
    <xf numFmtId="0" fontId="110" fillId="0" borderId="41" xfId="68" applyFont="1" applyBorder="1" applyAlignment="1">
      <alignment horizontal="center"/>
      <protection/>
    </xf>
    <xf numFmtId="0" fontId="7" fillId="0" borderId="41" xfId="68" applyFont="1" applyBorder="1" applyAlignment="1">
      <alignment/>
      <protection/>
    </xf>
    <xf numFmtId="0" fontId="7" fillId="0" borderId="39" xfId="68" applyFont="1" applyBorder="1" applyAlignment="1">
      <alignment/>
      <protection/>
    </xf>
    <xf numFmtId="0" fontId="7" fillId="0" borderId="40" xfId="68" applyFont="1" applyBorder="1" applyAlignment="1">
      <alignment/>
      <protection/>
    </xf>
    <xf numFmtId="40" fontId="10" fillId="0" borderId="0" xfId="46" applyFont="1" applyAlignment="1">
      <alignment/>
    </xf>
    <xf numFmtId="164" fontId="0" fillId="0" borderId="0" xfId="0" applyNumberFormat="1" applyAlignment="1">
      <alignment/>
    </xf>
    <xf numFmtId="0" fontId="10" fillId="0" borderId="0" xfId="0" applyNumberFormat="1" applyFont="1" applyAlignment="1">
      <alignment horizontal="left"/>
    </xf>
    <xf numFmtId="0" fontId="0" fillId="0" borderId="0" xfId="0" applyNumberFormat="1" applyAlignment="1">
      <alignment/>
    </xf>
    <xf numFmtId="10" fontId="7" fillId="0" borderId="0" xfId="68" applyNumberFormat="1" applyFont="1">
      <alignment/>
      <protection/>
    </xf>
    <xf numFmtId="0" fontId="63" fillId="0" borderId="27" xfId="58" applyFont="1" applyBorder="1" applyAlignment="1" applyProtection="1">
      <alignment/>
      <protection/>
    </xf>
    <xf numFmtId="164" fontId="18" fillId="0" borderId="0" xfId="64" applyFont="1" applyAlignment="1">
      <alignment horizontal="left"/>
      <protection/>
    </xf>
    <xf numFmtId="10" fontId="3" fillId="0" borderId="0" xfId="73" applyNumberFormat="1" applyFont="1" applyAlignment="1">
      <alignment/>
    </xf>
    <xf numFmtId="0" fontId="3" fillId="0" borderId="0" xfId="67">
      <alignment/>
      <protection/>
    </xf>
    <xf numFmtId="0" fontId="3" fillId="0" borderId="0" xfId="67" applyAlignment="1">
      <alignment horizontal="center"/>
      <protection/>
    </xf>
    <xf numFmtId="0" fontId="3" fillId="0" borderId="0" xfId="67" applyAlignment="1">
      <alignment horizontal="left"/>
      <protection/>
    </xf>
    <xf numFmtId="14" fontId="3" fillId="0" borderId="0" xfId="67" applyNumberFormat="1">
      <alignment/>
      <protection/>
    </xf>
    <xf numFmtId="0" fontId="10" fillId="0" borderId="0" xfId="67" applyFont="1">
      <alignment/>
      <protection/>
    </xf>
    <xf numFmtId="14" fontId="10" fillId="0" borderId="0" xfId="67" applyNumberFormat="1" applyFont="1">
      <alignment/>
      <protection/>
    </xf>
    <xf numFmtId="0" fontId="62" fillId="0" borderId="0" xfId="67" applyFont="1">
      <alignment/>
      <protection/>
    </xf>
    <xf numFmtId="10" fontId="16" fillId="0" borderId="0" xfId="67" applyNumberFormat="1" applyFont="1" applyProtection="1">
      <alignment/>
      <protection locked="0"/>
    </xf>
    <xf numFmtId="0" fontId="18" fillId="0" borderId="0" xfId="67" applyFont="1" applyAlignment="1">
      <alignment horizontal="left"/>
      <protection/>
    </xf>
    <xf numFmtId="0" fontId="10" fillId="0" borderId="0" xfId="67" applyFont="1" applyAlignment="1">
      <alignment horizontal="right"/>
      <protection/>
    </xf>
    <xf numFmtId="0" fontId="16" fillId="0" borderId="0" xfId="67" applyFont="1" applyProtection="1">
      <alignment/>
      <protection locked="0"/>
    </xf>
    <xf numFmtId="0" fontId="10" fillId="0" borderId="0" xfId="67" applyFont="1" applyAlignment="1">
      <alignment horizontal="center"/>
      <protection/>
    </xf>
    <xf numFmtId="0" fontId="17" fillId="0" borderId="0" xfId="67" applyFont="1">
      <alignment/>
      <protection/>
    </xf>
    <xf numFmtId="0" fontId="18" fillId="0" borderId="0" xfId="67" applyFont="1" applyAlignment="1">
      <alignment horizontal="center"/>
      <protection/>
    </xf>
    <xf numFmtId="0" fontId="18" fillId="0" borderId="0" xfId="67" applyFont="1" applyAlignment="1">
      <alignment horizontal="centerContinuous"/>
      <protection/>
    </xf>
    <xf numFmtId="0" fontId="18" fillId="0" borderId="0" xfId="67" applyFont="1">
      <alignment/>
      <protection/>
    </xf>
    <xf numFmtId="0" fontId="47" fillId="0" borderId="0" xfId="67" applyFont="1" applyAlignment="1">
      <alignment horizontal="left"/>
      <protection/>
    </xf>
    <xf numFmtId="0" fontId="0" fillId="0" borderId="0" xfId="67" applyFont="1">
      <alignment/>
      <protection/>
    </xf>
    <xf numFmtId="170" fontId="10" fillId="0" borderId="0" xfId="64" applyNumberFormat="1" applyFont="1" applyAlignment="1">
      <alignment horizontal="centerContinuous"/>
      <protection/>
    </xf>
    <xf numFmtId="164" fontId="10" fillId="0" borderId="0" xfId="64" applyNumberFormat="1" applyFont="1">
      <alignment/>
      <protection/>
    </xf>
    <xf numFmtId="164" fontId="24" fillId="0" borderId="0" xfId="64" applyNumberFormat="1" applyFont="1">
      <alignment/>
      <protection/>
    </xf>
    <xf numFmtId="40" fontId="10" fillId="0" borderId="0" xfId="45" applyNumberFormat="1" applyFont="1" applyAlignment="1">
      <alignment/>
    </xf>
    <xf numFmtId="0" fontId="18" fillId="16" borderId="0" xfId="67" applyFont="1" applyFill="1" applyAlignment="1">
      <alignment horizontal="left"/>
      <protection/>
    </xf>
    <xf numFmtId="0" fontId="17" fillId="16" borderId="0" xfId="67" applyFont="1" applyFill="1">
      <alignment/>
      <protection/>
    </xf>
    <xf numFmtId="0" fontId="18" fillId="16" borderId="0" xfId="67" applyFont="1" applyFill="1" applyAlignment="1">
      <alignment horizontal="center"/>
      <protection/>
    </xf>
    <xf numFmtId="10" fontId="16" fillId="16" borderId="0" xfId="67" applyNumberFormat="1" applyFont="1" applyFill="1" applyProtection="1">
      <alignment/>
      <protection locked="0"/>
    </xf>
    <xf numFmtId="0" fontId="3" fillId="16" borderId="0" xfId="67" applyFill="1" applyAlignment="1">
      <alignment horizontal="left"/>
      <protection/>
    </xf>
    <xf numFmtId="164" fontId="22" fillId="0" borderId="0" xfId="64" applyNumberFormat="1" applyFont="1" applyAlignment="1">
      <alignment horizontal="center"/>
      <protection/>
    </xf>
    <xf numFmtId="8" fontId="23" fillId="0" borderId="0" xfId="50" applyNumberFormat="1" applyFont="1" applyAlignment="1">
      <alignment/>
    </xf>
    <xf numFmtId="164" fontId="0" fillId="0" borderId="0" xfId="64">
      <alignment/>
      <protection/>
    </xf>
    <xf numFmtId="40" fontId="10" fillId="0" borderId="0" xfId="45" applyFont="1" applyAlignment="1">
      <alignment/>
    </xf>
    <xf numFmtId="14" fontId="16" fillId="0" borderId="0" xfId="67" applyNumberFormat="1" applyFont="1" applyAlignment="1">
      <alignment horizontal="center"/>
      <protection/>
    </xf>
    <xf numFmtId="164" fontId="6" fillId="0" borderId="0" xfId="0" applyFont="1" applyAlignment="1">
      <alignment horizontal="right" wrapText="1"/>
    </xf>
    <xf numFmtId="164" fontId="38" fillId="0" borderId="0" xfId="0" applyFont="1" applyAlignment="1">
      <alignment horizontal="right" wrapText="1"/>
    </xf>
    <xf numFmtId="164" fontId="3" fillId="0" borderId="0" xfId="64" applyFont="1">
      <alignment/>
      <protection/>
    </xf>
    <xf numFmtId="164" fontId="20" fillId="0" borderId="0" xfId="64" applyFont="1">
      <alignment/>
      <protection/>
    </xf>
    <xf numFmtId="164" fontId="21" fillId="0" borderId="0" xfId="64" applyFont="1">
      <alignment/>
      <protection/>
    </xf>
    <xf numFmtId="164" fontId="20" fillId="0" borderId="0" xfId="64" applyFont="1" applyAlignment="1">
      <alignment horizontal="center" wrapText="1"/>
      <protection/>
    </xf>
    <xf numFmtId="40" fontId="3" fillId="0" borderId="0" xfId="45" applyFont="1" applyAlignment="1">
      <alignment/>
    </xf>
    <xf numFmtId="164" fontId="10" fillId="0" borderId="0" xfId="64" applyFont="1">
      <alignment/>
      <protection/>
    </xf>
    <xf numFmtId="164" fontId="22" fillId="0" borderId="0" xfId="64" applyFont="1" applyAlignment="1">
      <alignment horizontal="center"/>
      <protection/>
    </xf>
    <xf numFmtId="8" fontId="23" fillId="0" borderId="0" xfId="50" applyFont="1" applyAlignment="1">
      <alignment/>
    </xf>
    <xf numFmtId="164" fontId="10" fillId="0" borderId="0" xfId="64" applyFont="1" applyAlignment="1">
      <alignment horizontal="center"/>
      <protection/>
    </xf>
    <xf numFmtId="40" fontId="10" fillId="0" borderId="0" xfId="45" applyFont="1" applyAlignment="1">
      <alignment horizontal="center"/>
    </xf>
    <xf numFmtId="164" fontId="3" fillId="0" borderId="0" xfId="64" applyFont="1" applyAlignment="1">
      <alignment horizontal="center"/>
      <protection/>
    </xf>
    <xf numFmtId="164" fontId="18" fillId="0" borderId="0" xfId="64" applyFont="1" applyAlignment="1">
      <alignment horizontal="center"/>
      <protection/>
    </xf>
    <xf numFmtId="40" fontId="18" fillId="0" borderId="0" xfId="45" applyFont="1" applyAlignment="1">
      <alignment horizontal="center"/>
    </xf>
    <xf numFmtId="164" fontId="24" fillId="0" borderId="0" xfId="64" applyFont="1">
      <alignment/>
      <protection/>
    </xf>
    <xf numFmtId="164" fontId="7" fillId="0" borderId="0" xfId="64" applyFont="1">
      <alignment/>
      <protection/>
    </xf>
    <xf numFmtId="38" fontId="6" fillId="49" borderId="42" xfId="44" applyNumberFormat="1" applyFont="1" applyFill="1" applyBorder="1" applyAlignment="1">
      <alignment/>
      <protection/>
    </xf>
    <xf numFmtId="38" fontId="6" fillId="49" borderId="43" xfId="44" applyNumberFormat="1" applyFont="1" applyFill="1" applyBorder="1" applyAlignment="1">
      <alignment/>
      <protection/>
    </xf>
    <xf numFmtId="38" fontId="6" fillId="0" borderId="0" xfId="45" applyNumberFormat="1" applyFont="1" applyAlignment="1">
      <alignment/>
    </xf>
    <xf numFmtId="164" fontId="5" fillId="0" borderId="0" xfId="64" applyFont="1" applyAlignment="1">
      <alignment horizontal="right"/>
      <protection/>
    </xf>
    <xf numFmtId="0" fontId="10" fillId="0" borderId="16" xfId="67" applyFont="1" applyBorder="1">
      <alignment/>
      <protection/>
    </xf>
    <xf numFmtId="0" fontId="43" fillId="0" borderId="0" xfId="69" applyFont="1">
      <alignment/>
      <protection/>
    </xf>
    <xf numFmtId="0" fontId="42" fillId="0" borderId="0" xfId="69" applyFont="1" applyAlignment="1">
      <alignment horizontal="right"/>
      <protection/>
    </xf>
    <xf numFmtId="2" fontId="44" fillId="33" borderId="0" xfId="69" applyNumberFormat="1" applyFont="1" applyFill="1">
      <alignment/>
      <protection/>
    </xf>
    <xf numFmtId="0" fontId="44" fillId="33" borderId="0" xfId="69" applyFont="1" applyFill="1">
      <alignment/>
      <protection/>
    </xf>
    <xf numFmtId="2" fontId="44" fillId="33" borderId="0" xfId="69" applyNumberFormat="1" applyFont="1" applyFill="1" applyAlignment="1">
      <alignment horizontal="right"/>
      <protection/>
    </xf>
    <xf numFmtId="2" fontId="44" fillId="33" borderId="0" xfId="69" applyNumberFormat="1" applyFont="1" applyFill="1" applyAlignment="1">
      <alignment horizontal="center"/>
      <protection/>
    </xf>
    <xf numFmtId="0" fontId="41" fillId="33" borderId="19" xfId="69" applyFont="1" applyFill="1" applyBorder="1">
      <alignment/>
      <protection/>
    </xf>
    <xf numFmtId="2" fontId="41" fillId="33" borderId="19" xfId="69" applyNumberFormat="1" applyFont="1" applyFill="1" applyBorder="1">
      <alignment/>
      <protection/>
    </xf>
    <xf numFmtId="0" fontId="41" fillId="33" borderId="0" xfId="69" applyFont="1" applyFill="1">
      <alignment/>
      <protection/>
    </xf>
    <xf numFmtId="2" fontId="41" fillId="33" borderId="0" xfId="69" applyNumberFormat="1" applyFont="1" applyFill="1">
      <alignment/>
      <protection/>
    </xf>
    <xf numFmtId="168" fontId="16" fillId="0" borderId="25" xfId="67" applyNumberFormat="1" applyFont="1" applyBorder="1">
      <alignment/>
      <protection/>
    </xf>
    <xf numFmtId="168" fontId="3" fillId="0" borderId="0" xfId="67" applyNumberFormat="1">
      <alignment/>
      <protection/>
    </xf>
    <xf numFmtId="171" fontId="3" fillId="0" borderId="0" xfId="67" applyNumberFormat="1">
      <alignment/>
      <protection/>
    </xf>
    <xf numFmtId="0" fontId="3" fillId="0" borderId="0" xfId="67" applyAlignment="1">
      <alignment horizontal="right"/>
      <protection/>
    </xf>
    <xf numFmtId="10" fontId="3" fillId="0" borderId="0" xfId="67" applyNumberFormat="1">
      <alignment/>
      <protection/>
    </xf>
    <xf numFmtId="0" fontId="13" fillId="0" borderId="0" xfId="65" applyAlignment="1">
      <alignment horizontal="right"/>
      <protection/>
    </xf>
    <xf numFmtId="0" fontId="3" fillId="16" borderId="0" xfId="67" applyFill="1">
      <alignment/>
      <protection/>
    </xf>
    <xf numFmtId="10" fontId="64" fillId="16" borderId="0" xfId="67" applyNumberFormat="1" applyFont="1" applyFill="1" applyProtection="1">
      <alignment/>
      <protection locked="0"/>
    </xf>
    <xf numFmtId="0" fontId="10" fillId="16" borderId="0" xfId="67" applyFont="1" applyFill="1">
      <alignment/>
      <protection/>
    </xf>
    <xf numFmtId="37" fontId="10" fillId="0" borderId="0" xfId="67" applyNumberFormat="1" applyFont="1">
      <alignment/>
      <protection/>
    </xf>
    <xf numFmtId="10" fontId="3" fillId="0" borderId="0" xfId="67" applyNumberFormat="1" applyAlignment="1">
      <alignment horizontal="center"/>
      <protection/>
    </xf>
    <xf numFmtId="164" fontId="3" fillId="0" borderId="0" xfId="0" applyFont="1" applyAlignment="1">
      <alignment wrapText="1"/>
    </xf>
    <xf numFmtId="164" fontId="3" fillId="0" borderId="0" xfId="0" applyFont="1" applyAlignment="1">
      <alignment vertical="center" wrapText="1"/>
    </xf>
    <xf numFmtId="164" fontId="0" fillId="0" borderId="0" xfId="0" applyAlignment="1">
      <alignment wrapText="1"/>
    </xf>
    <xf numFmtId="164" fontId="3" fillId="0" borderId="0" xfId="0" applyFont="1" applyAlignment="1">
      <alignment horizontal="right"/>
    </xf>
    <xf numFmtId="0" fontId="7" fillId="0" borderId="41" xfId="68" applyFont="1" applyBorder="1" applyAlignment="1">
      <alignment horizontal="center" wrapText="1"/>
      <protection/>
    </xf>
    <xf numFmtId="0" fontId="7" fillId="0" borderId="39" xfId="68" applyFont="1" applyBorder="1" applyAlignment="1">
      <alignment horizontal="center" wrapText="1"/>
      <protection/>
    </xf>
    <xf numFmtId="0" fontId="7" fillId="0" borderId="40" xfId="68" applyFont="1" applyBorder="1" applyAlignment="1">
      <alignment horizontal="center" wrapText="1"/>
      <protection/>
    </xf>
    <xf numFmtId="14" fontId="104" fillId="43" borderId="0" xfId="68" applyNumberFormat="1" applyFont="1" applyFill="1" applyBorder="1" applyAlignment="1">
      <alignment horizontal="center"/>
      <protection/>
    </xf>
    <xf numFmtId="0" fontId="61" fillId="0" borderId="0" xfId="68" applyFont="1" applyAlignment="1">
      <alignment horizontal="right"/>
      <protection/>
    </xf>
    <xf numFmtId="0" fontId="3" fillId="0" borderId="0" xfId="0" applyNumberFormat="1" applyFont="1" applyAlignment="1">
      <alignment horizontal="center" vertical="center" wrapText="1"/>
    </xf>
    <xf numFmtId="0" fontId="10" fillId="0" borderId="0" xfId="67" applyFont="1" applyAlignment="1">
      <alignment horizontal="center"/>
      <protection/>
    </xf>
    <xf numFmtId="40" fontId="10" fillId="0" borderId="21" xfId="45" applyFont="1" applyBorder="1" applyAlignment="1">
      <alignment horizontal="center" vertical="center" wrapText="1"/>
    </xf>
    <xf numFmtId="40" fontId="10" fillId="0" borderId="0" xfId="45" applyFont="1" applyBorder="1" applyAlignment="1">
      <alignment horizontal="center" vertical="center" wrapText="1"/>
    </xf>
    <xf numFmtId="164" fontId="6" fillId="0" borderId="0" xfId="64" applyFont="1" applyAlignment="1">
      <alignment horizontal="right" wrapText="1"/>
      <protection/>
    </xf>
    <xf numFmtId="164" fontId="38" fillId="0" borderId="0" xfId="64" applyFont="1" applyAlignment="1">
      <alignment horizontal="right" wrapText="1"/>
      <protection/>
    </xf>
    <xf numFmtId="38" fontId="6" fillId="38" borderId="42" xfId="45" applyNumberFormat="1" applyFont="1" applyFill="1" applyBorder="1" applyAlignment="1">
      <alignment/>
    </xf>
    <xf numFmtId="38" fontId="6" fillId="38" borderId="43" xfId="45" applyNumberFormat="1" applyFont="1" applyFill="1" applyBorder="1" applyAlignment="1">
      <alignment/>
    </xf>
    <xf numFmtId="38" fontId="6" fillId="37" borderId="0" xfId="45" applyNumberFormat="1" applyFont="1" applyFill="1" applyAlignment="1">
      <alignment horizontal="right"/>
    </xf>
    <xf numFmtId="164" fontId="10" fillId="0" borderId="0" xfId="64" applyFont="1" applyAlignment="1">
      <alignment horizontal="right"/>
      <protection/>
    </xf>
    <xf numFmtId="170" fontId="10" fillId="0" borderId="0" xfId="64" applyNumberFormat="1" applyFont="1" applyAlignment="1">
      <alignment horizontal="center"/>
      <protection/>
    </xf>
    <xf numFmtId="164" fontId="5" fillId="0" borderId="0" xfId="64" applyFont="1" applyAlignment="1">
      <alignment wrapText="1"/>
      <protection/>
    </xf>
    <xf numFmtId="164" fontId="0" fillId="0" borderId="0" xfId="64" applyAlignment="1">
      <alignment wrapText="1"/>
      <protection/>
    </xf>
    <xf numFmtId="164" fontId="6" fillId="0" borderId="21" xfId="64" applyFont="1" applyBorder="1" applyAlignment="1">
      <alignment horizontal="left" vertical="center" wrapText="1"/>
      <protection/>
    </xf>
    <xf numFmtId="164" fontId="6" fillId="0" borderId="0" xfId="64" applyFont="1" applyBorder="1" applyAlignment="1">
      <alignment horizontal="left" vertical="center" wrapText="1"/>
      <protection/>
    </xf>
    <xf numFmtId="0" fontId="42" fillId="42" borderId="0" xfId="69" applyFont="1" applyFill="1" applyAlignment="1">
      <alignment horizontal="center"/>
      <protection/>
    </xf>
    <xf numFmtId="0" fontId="42" fillId="42" borderId="16" xfId="69" applyFont="1" applyFill="1" applyBorder="1" applyAlignment="1">
      <alignment horizontal="center"/>
      <protection/>
    </xf>
    <xf numFmtId="0" fontId="41" fillId="0" borderId="16" xfId="69" applyFont="1" applyBorder="1" applyAlignment="1">
      <alignment horizontal="center"/>
      <protection/>
    </xf>
    <xf numFmtId="0" fontId="42" fillId="0" borderId="0" xfId="69" applyFont="1" applyAlignment="1">
      <alignment horizontal="center"/>
      <protection/>
    </xf>
    <xf numFmtId="164" fontId="10" fillId="0" borderId="0" xfId="0" applyFont="1" applyAlignment="1">
      <alignment horizontal="right"/>
    </xf>
    <xf numFmtId="0" fontId="41" fillId="0" borderId="0" xfId="69" applyFont="1" applyAlignment="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_ModBudSprdsht-cal-fringes" xfId="59"/>
    <cellStyle name="Input" xfId="60"/>
    <cellStyle name="Linked Cell" xfId="61"/>
    <cellStyle name="Neutral" xfId="62"/>
    <cellStyle name="Normal 2" xfId="63"/>
    <cellStyle name="Normal 3" xfId="64"/>
    <cellStyle name="Normal_Copy of Copy of ModBudSprdsht" xfId="65"/>
    <cellStyle name="Normal_Copy of FY06-FED" xfId="66"/>
    <cellStyle name="Normal_Copy of FY06-FED 2" xfId="67"/>
    <cellStyle name="Normal_ModBudSprdsht-cal-fringes" xfId="68"/>
    <cellStyle name="Normal_person_months_conversion_chart_rev" xfId="69"/>
    <cellStyle name="Note" xfId="70"/>
    <cellStyle name="Output" xfId="71"/>
    <cellStyle name="Percent" xfId="72"/>
    <cellStyle name="Percent 2" xfId="73"/>
    <cellStyle name="Percent 3" xfId="74"/>
    <cellStyle name="Title" xfId="75"/>
    <cellStyle name="Total" xfId="76"/>
    <cellStyle name="Warning Text" xfId="77"/>
  </cellStyles>
  <dxfs count="11">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ill>
        <patternFill>
          <bgColor indexed="42"/>
        </patternFill>
      </fill>
    </dxf>
    <dxf>
      <font>
        <b/>
        <i val="0"/>
      </font>
      <fill>
        <patternFill patternType="solid">
          <bgColor indexed="29"/>
        </patternFill>
      </fill>
    </dxf>
    <dxf>
      <fill>
        <patternFill>
          <bgColor indexed="42"/>
        </patternFill>
      </fill>
    </dxf>
    <dxf>
      <font>
        <b/>
        <i val="0"/>
      </font>
      <fill>
        <patternFill patternType="solid">
          <bgColor indexed="10"/>
        </patternFill>
      </fill>
    </dxf>
    <dxf>
      <font>
        <b/>
        <i val="0"/>
      </font>
      <fill>
        <patternFill patternType="solid">
          <bgColor rgb="FFFF0000"/>
        </patternFill>
      </fill>
      <border/>
    </dxf>
    <dxf>
      <font>
        <b/>
        <i val="0"/>
      </font>
      <fill>
        <patternFill patternType="solid">
          <bgColor rgb="FFFF8080"/>
        </patternFill>
      </fill>
      <border/>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10</xdr:row>
      <xdr:rowOff>114300</xdr:rowOff>
    </xdr:from>
    <xdr:to>
      <xdr:col>0</xdr:col>
      <xdr:colOff>609600</xdr:colOff>
      <xdr:row>11</xdr:row>
      <xdr:rowOff>28575</xdr:rowOff>
    </xdr:to>
    <xdr:pic>
      <xdr:nvPicPr>
        <xdr:cNvPr id="1" name="Picture 1" descr="BD21298_"/>
        <xdr:cNvPicPr preferRelativeResize="1">
          <a:picLocks noChangeAspect="1"/>
        </xdr:cNvPicPr>
      </xdr:nvPicPr>
      <xdr:blipFill>
        <a:blip r:embed="rId1"/>
        <a:stretch>
          <a:fillRect/>
        </a:stretch>
      </xdr:blipFill>
      <xdr:spPr>
        <a:xfrm>
          <a:off x="209550" y="1666875"/>
          <a:ext cx="400050" cy="66675"/>
        </a:xfrm>
        <a:prstGeom prst="rect">
          <a:avLst/>
        </a:prstGeom>
        <a:noFill/>
        <a:ln w="9525" cmpd="sng">
          <a:noFill/>
        </a:ln>
      </xdr:spPr>
    </xdr:pic>
    <xdr:clientData/>
  </xdr:twoCellAnchor>
  <xdr:twoCellAnchor editAs="oneCell">
    <xdr:from>
      <xdr:col>0</xdr:col>
      <xdr:colOff>123825</xdr:colOff>
      <xdr:row>10</xdr:row>
      <xdr:rowOff>57150</xdr:rowOff>
    </xdr:from>
    <xdr:to>
      <xdr:col>0</xdr:col>
      <xdr:colOff>361950</xdr:colOff>
      <xdr:row>11</xdr:row>
      <xdr:rowOff>66675</xdr:rowOff>
    </xdr:to>
    <xdr:pic>
      <xdr:nvPicPr>
        <xdr:cNvPr id="2" name="Picture 1" descr="BD21298_"/>
        <xdr:cNvPicPr preferRelativeResize="1">
          <a:picLocks noChangeAspect="1"/>
        </xdr:cNvPicPr>
      </xdr:nvPicPr>
      <xdr:blipFill>
        <a:blip r:embed="rId1"/>
        <a:stretch>
          <a:fillRect/>
        </a:stretch>
      </xdr:blipFill>
      <xdr:spPr>
        <a:xfrm>
          <a:off x="123825" y="1609725"/>
          <a:ext cx="238125"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rants1.nih.gov/grants/funding/submissionschedule.htm" TargetMode="External" /><Relationship Id="rId2" Type="http://schemas.openxmlformats.org/officeDocument/2006/relationships/hyperlink" Target="http://srs.uc.edu/file_pdf/RoutingFormpaper_7-27-09.pdf" TargetMode="External" /><Relationship Id="rId3" Type="http://schemas.openxmlformats.org/officeDocument/2006/relationships/hyperlink" Target="http://grants1.nih.gov/grants/policy/salcap_summary.htm" TargetMode="External" /><Relationship Id="rId4" Type="http://schemas.openxmlformats.org/officeDocument/2006/relationships/hyperlink" Target="http://grants.nih.gov/grants/guide/notice-files/NOT-OD-09-075.html" TargetMode="External" /><Relationship Id="rId5" Type="http://schemas.openxmlformats.org/officeDocument/2006/relationships/hyperlink" Target="http://www.uc.edu/about/ucfactsheet.html#tuition" TargetMode="External" /><Relationship Id="rId6" Type="http://schemas.openxmlformats.org/officeDocument/2006/relationships/hyperlink" Target="http://www.uc.edu/af/budgetfinsvcs/gcc.html" TargetMode="External" /><Relationship Id="rId7" Type="http://schemas.openxmlformats.org/officeDocument/2006/relationships/hyperlink" Target="http://srs.uc.edu/file_XLS/OffCampusVerification.xls" TargetMode="External" /><Relationship Id="rId8" Type="http://schemas.openxmlformats.org/officeDocument/2006/relationships/hyperlink" Target="http://www.uc.edu/af/GCC/default.html"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1">
      <selection activeCell="K11" sqref="K11"/>
    </sheetView>
  </sheetViews>
  <sheetFormatPr defaultColWidth="9.00390625" defaultRowHeight="12.75"/>
  <sheetData>
    <row r="1" spans="1:8" ht="12" customHeight="1">
      <c r="A1" s="286" t="s">
        <v>230</v>
      </c>
      <c r="B1" s="287"/>
      <c r="C1" s="287"/>
      <c r="D1" s="287"/>
      <c r="E1" s="287"/>
      <c r="F1" s="287"/>
      <c r="G1" s="287"/>
      <c r="H1" s="287"/>
    </row>
    <row r="2" spans="1:8" ht="12">
      <c r="A2" s="287"/>
      <c r="B2" s="287"/>
      <c r="C2" s="287"/>
      <c r="D2" s="287"/>
      <c r="E2" s="287"/>
      <c r="F2" s="287"/>
      <c r="G2" s="287"/>
      <c r="H2" s="287"/>
    </row>
    <row r="3" spans="1:8" ht="12">
      <c r="A3" s="287"/>
      <c r="B3" s="287"/>
      <c r="C3" s="287"/>
      <c r="D3" s="287"/>
      <c r="E3" s="287"/>
      <c r="F3" s="287"/>
      <c r="G3" s="287"/>
      <c r="H3" s="287"/>
    </row>
    <row r="4" spans="1:8" ht="12">
      <c r="A4" s="287"/>
      <c r="B4" s="287"/>
      <c r="C4" s="287"/>
      <c r="D4" s="287"/>
      <c r="E4" s="287"/>
      <c r="F4" s="287"/>
      <c r="G4" s="287"/>
      <c r="H4" s="287"/>
    </row>
    <row r="5" spans="1:8" ht="12">
      <c r="A5" s="287"/>
      <c r="B5" s="287"/>
      <c r="C5" s="287"/>
      <c r="D5" s="287"/>
      <c r="E5" s="287"/>
      <c r="F5" s="287"/>
      <c r="G5" s="287"/>
      <c r="H5" s="287"/>
    </row>
    <row r="6" spans="1:8" ht="12">
      <c r="A6" s="287"/>
      <c r="B6" s="287"/>
      <c r="C6" s="287"/>
      <c r="D6" s="287"/>
      <c r="E6" s="287"/>
      <c r="F6" s="287"/>
      <c r="G6" s="287"/>
      <c r="H6" s="287"/>
    </row>
    <row r="7" spans="1:8" ht="12">
      <c r="A7" s="287"/>
      <c r="B7" s="287"/>
      <c r="C7" s="287"/>
      <c r="D7" s="287"/>
      <c r="E7" s="287"/>
      <c r="F7" s="287"/>
      <c r="G7" s="287"/>
      <c r="H7" s="287"/>
    </row>
    <row r="8" spans="1:8" ht="12">
      <c r="A8" s="287"/>
      <c r="B8" s="287"/>
      <c r="C8" s="287"/>
      <c r="D8" s="287"/>
      <c r="E8" s="287"/>
      <c r="F8" s="287"/>
      <c r="G8" s="287"/>
      <c r="H8" s="287"/>
    </row>
    <row r="9" spans="1:8" ht="12">
      <c r="A9" s="287"/>
      <c r="B9" s="287"/>
      <c r="C9" s="287"/>
      <c r="D9" s="287"/>
      <c r="E9" s="287"/>
      <c r="F9" s="287"/>
      <c r="G9" s="287"/>
      <c r="H9" s="287"/>
    </row>
    <row r="10" spans="1:8" ht="12">
      <c r="A10" s="287"/>
      <c r="B10" s="287"/>
      <c r="C10" s="287"/>
      <c r="D10" s="287"/>
      <c r="E10" s="287"/>
      <c r="F10" s="287"/>
      <c r="G10" s="287"/>
      <c r="H10" s="287"/>
    </row>
    <row r="11" spans="1:8" ht="12">
      <c r="A11" s="287"/>
      <c r="B11" s="287"/>
      <c r="C11" s="287"/>
      <c r="D11" s="287"/>
      <c r="E11" s="287"/>
      <c r="F11" s="287"/>
      <c r="G11" s="287"/>
      <c r="H11" s="287"/>
    </row>
    <row r="12" spans="1:8" ht="12">
      <c r="A12" s="287"/>
      <c r="B12" s="287"/>
      <c r="C12" s="287"/>
      <c r="D12" s="287"/>
      <c r="E12" s="287"/>
      <c r="F12" s="287"/>
      <c r="G12" s="287"/>
      <c r="H12" s="287"/>
    </row>
    <row r="13" spans="1:8" ht="12">
      <c r="A13" s="287"/>
      <c r="B13" s="287"/>
      <c r="C13" s="287"/>
      <c r="D13" s="287"/>
      <c r="E13" s="287"/>
      <c r="F13" s="287"/>
      <c r="G13" s="287"/>
      <c r="H13" s="287"/>
    </row>
    <row r="14" spans="1:8" ht="12">
      <c r="A14" s="287"/>
      <c r="B14" s="287"/>
      <c r="C14" s="287"/>
      <c r="D14" s="287"/>
      <c r="E14" s="287"/>
      <c r="F14" s="287"/>
      <c r="G14" s="287"/>
      <c r="H14" s="287"/>
    </row>
    <row r="15" spans="1:8" ht="12">
      <c r="A15" s="287"/>
      <c r="B15" s="287"/>
      <c r="C15" s="287"/>
      <c r="D15" s="287"/>
      <c r="E15" s="287"/>
      <c r="F15" s="287"/>
      <c r="G15" s="287"/>
      <c r="H15" s="287"/>
    </row>
    <row r="16" spans="1:8" ht="12">
      <c r="A16" s="287"/>
      <c r="B16" s="287"/>
      <c r="C16" s="287"/>
      <c r="D16" s="287"/>
      <c r="E16" s="287"/>
      <c r="F16" s="287"/>
      <c r="G16" s="287"/>
      <c r="H16" s="287"/>
    </row>
    <row r="17" spans="1:8" ht="12">
      <c r="A17" s="287"/>
      <c r="B17" s="287"/>
      <c r="C17" s="287"/>
      <c r="D17" s="287"/>
      <c r="E17" s="287"/>
      <c r="F17" s="287"/>
      <c r="G17" s="287"/>
      <c r="H17" s="287"/>
    </row>
    <row r="18" spans="1:8" ht="12">
      <c r="A18" s="287"/>
      <c r="B18" s="287"/>
      <c r="C18" s="287"/>
      <c r="D18" s="287"/>
      <c r="E18" s="287"/>
      <c r="F18" s="287"/>
      <c r="G18" s="287"/>
      <c r="H18" s="287"/>
    </row>
    <row r="19" spans="1:8" ht="12">
      <c r="A19" s="287"/>
      <c r="B19" s="287"/>
      <c r="C19" s="287"/>
      <c r="D19" s="287"/>
      <c r="E19" s="287"/>
      <c r="F19" s="287"/>
      <c r="G19" s="287"/>
      <c r="H19" s="287"/>
    </row>
    <row r="20" spans="1:8" ht="12">
      <c r="A20" s="287"/>
      <c r="B20" s="287"/>
      <c r="C20" s="287"/>
      <c r="D20" s="287"/>
      <c r="E20" s="287"/>
      <c r="F20" s="287"/>
      <c r="G20" s="287"/>
      <c r="H20" s="287"/>
    </row>
    <row r="21" spans="1:8" ht="12">
      <c r="A21" s="287"/>
      <c r="B21" s="287"/>
      <c r="C21" s="287"/>
      <c r="D21" s="287"/>
      <c r="E21" s="287"/>
      <c r="F21" s="287"/>
      <c r="G21" s="287"/>
      <c r="H21" s="287"/>
    </row>
    <row r="22" spans="1:8" ht="12">
      <c r="A22" s="287"/>
      <c r="B22" s="287"/>
      <c r="C22" s="287"/>
      <c r="D22" s="287"/>
      <c r="E22" s="287"/>
      <c r="F22" s="287"/>
      <c r="G22" s="287"/>
      <c r="H22" s="287"/>
    </row>
    <row r="23" spans="1:8" ht="12">
      <c r="A23" s="287"/>
      <c r="B23" s="287"/>
      <c r="C23" s="287"/>
      <c r="D23" s="287"/>
      <c r="E23" s="287"/>
      <c r="F23" s="287"/>
      <c r="G23" s="287"/>
      <c r="H23" s="287"/>
    </row>
    <row r="24" spans="1:8" ht="12">
      <c r="A24" s="287"/>
      <c r="B24" s="287"/>
      <c r="C24" s="287"/>
      <c r="D24" s="287"/>
      <c r="E24" s="287"/>
      <c r="F24" s="287"/>
      <c r="G24" s="287"/>
      <c r="H24" s="287"/>
    </row>
    <row r="25" spans="1:8" ht="12">
      <c r="A25" s="287"/>
      <c r="B25" s="287"/>
      <c r="C25" s="287"/>
      <c r="D25" s="287"/>
      <c r="E25" s="287"/>
      <c r="F25" s="287"/>
      <c r="G25" s="287"/>
      <c r="H25" s="287"/>
    </row>
    <row r="26" spans="1:8" ht="12">
      <c r="A26" s="287"/>
      <c r="B26" s="287"/>
      <c r="C26" s="287"/>
      <c r="D26" s="287"/>
      <c r="E26" s="287"/>
      <c r="F26" s="287"/>
      <c r="G26" s="287"/>
      <c r="H26" s="287"/>
    </row>
    <row r="27" spans="1:8" ht="12">
      <c r="A27" s="287"/>
      <c r="B27" s="287"/>
      <c r="C27" s="287"/>
      <c r="D27" s="287"/>
      <c r="E27" s="287"/>
      <c r="F27" s="287"/>
      <c r="G27" s="287"/>
      <c r="H27" s="287"/>
    </row>
    <row r="28" spans="1:8" ht="12">
      <c r="A28" s="287"/>
      <c r="B28" s="287"/>
      <c r="C28" s="287"/>
      <c r="D28" s="287"/>
      <c r="E28" s="287"/>
      <c r="F28" s="287"/>
      <c r="G28" s="287"/>
      <c r="H28" s="287"/>
    </row>
    <row r="29" spans="1:8" ht="12">
      <c r="A29" s="287"/>
      <c r="B29" s="287"/>
      <c r="C29" s="287"/>
      <c r="D29" s="287"/>
      <c r="E29" s="287"/>
      <c r="F29" s="287"/>
      <c r="G29" s="287"/>
      <c r="H29" s="287"/>
    </row>
    <row r="30" spans="1:8" ht="12">
      <c r="A30" s="287"/>
      <c r="B30" s="287"/>
      <c r="C30" s="287"/>
      <c r="D30" s="287"/>
      <c r="E30" s="287"/>
      <c r="F30" s="287"/>
      <c r="G30" s="287"/>
      <c r="H30" s="287"/>
    </row>
    <row r="31" spans="1:8" ht="12">
      <c r="A31" s="287"/>
      <c r="B31" s="287"/>
      <c r="C31" s="287"/>
      <c r="D31" s="287"/>
      <c r="E31" s="287"/>
      <c r="F31" s="287"/>
      <c r="G31" s="287"/>
      <c r="H31" s="287"/>
    </row>
    <row r="32" spans="1:8" ht="12">
      <c r="A32" s="287"/>
      <c r="B32" s="287"/>
      <c r="C32" s="287"/>
      <c r="D32" s="287"/>
      <c r="E32" s="287"/>
      <c r="F32" s="287"/>
      <c r="G32" s="287"/>
      <c r="H32" s="287"/>
    </row>
    <row r="33" spans="1:8" ht="12">
      <c r="A33" s="287"/>
      <c r="B33" s="287"/>
      <c r="C33" s="287"/>
      <c r="D33" s="287"/>
      <c r="E33" s="287"/>
      <c r="F33" s="287"/>
      <c r="G33" s="287"/>
      <c r="H33" s="287"/>
    </row>
    <row r="34" spans="1:8" ht="12">
      <c r="A34" s="287"/>
      <c r="B34" s="287"/>
      <c r="C34" s="287"/>
      <c r="D34" s="287"/>
      <c r="E34" s="287"/>
      <c r="F34" s="287"/>
      <c r="G34" s="287"/>
      <c r="H34" s="287"/>
    </row>
    <row r="35" spans="1:8" ht="12">
      <c r="A35" s="287"/>
      <c r="B35" s="287"/>
      <c r="C35" s="287"/>
      <c r="D35" s="287"/>
      <c r="E35" s="287"/>
      <c r="F35" s="287"/>
      <c r="G35" s="287"/>
      <c r="H35" s="287"/>
    </row>
    <row r="36" spans="1:8" ht="12">
      <c r="A36" s="287"/>
      <c r="B36" s="287"/>
      <c r="C36" s="287"/>
      <c r="D36" s="287"/>
      <c r="E36" s="287"/>
      <c r="F36" s="287"/>
      <c r="G36" s="287"/>
      <c r="H36" s="287"/>
    </row>
    <row r="37" spans="1:8" ht="12">
      <c r="A37" s="287"/>
      <c r="B37" s="287"/>
      <c r="C37" s="287"/>
      <c r="D37" s="287"/>
      <c r="E37" s="287"/>
      <c r="F37" s="287"/>
      <c r="G37" s="287"/>
      <c r="H37" s="287"/>
    </row>
    <row r="38" spans="1:8" ht="12">
      <c r="A38" s="287"/>
      <c r="B38" s="287"/>
      <c r="C38" s="287"/>
      <c r="D38" s="287"/>
      <c r="E38" s="287"/>
      <c r="F38" s="287"/>
      <c r="G38" s="287"/>
      <c r="H38" s="287"/>
    </row>
    <row r="39" spans="1:8" ht="12">
      <c r="A39" s="287"/>
      <c r="B39" s="287"/>
      <c r="C39" s="287"/>
      <c r="D39" s="287"/>
      <c r="E39" s="287"/>
      <c r="F39" s="287"/>
      <c r="G39" s="287"/>
      <c r="H39" s="287"/>
    </row>
    <row r="42" spans="1:8" ht="12" customHeight="1">
      <c r="A42" s="285" t="s">
        <v>136</v>
      </c>
      <c r="B42" s="285"/>
      <c r="C42" s="285"/>
      <c r="D42" s="285"/>
      <c r="E42" s="285"/>
      <c r="F42" s="285"/>
      <c r="G42" s="285"/>
      <c r="H42" s="285"/>
    </row>
    <row r="43" spans="1:8" ht="12" customHeight="1">
      <c r="A43" s="285"/>
      <c r="B43" s="285"/>
      <c r="C43" s="285"/>
      <c r="D43" s="285"/>
      <c r="E43" s="285"/>
      <c r="F43" s="285"/>
      <c r="G43" s="285"/>
      <c r="H43" s="285"/>
    </row>
    <row r="44" spans="1:8" ht="12">
      <c r="A44" s="285"/>
      <c r="B44" s="285"/>
      <c r="C44" s="285"/>
      <c r="D44" s="285"/>
      <c r="E44" s="285"/>
      <c r="F44" s="285"/>
      <c r="G44" s="285"/>
      <c r="H44" s="285"/>
    </row>
    <row r="52" spans="8:10" ht="15.75">
      <c r="H52" s="288">
        <f>RATES!N60</f>
        <v>0</v>
      </c>
      <c r="I52" s="288"/>
      <c r="J52" s="288"/>
    </row>
  </sheetData>
  <sheetProtection/>
  <mergeCells count="3">
    <mergeCell ref="A42:H44"/>
    <mergeCell ref="A1:H39"/>
    <mergeCell ref="H52:J52"/>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ransitionEvaluation="1"/>
  <dimension ref="A1:AK115"/>
  <sheetViews>
    <sheetView defaultGridColor="0" zoomScale="75" zoomScaleNormal="75" zoomScalePageLayoutView="0" colorId="22" workbookViewId="0" topLeftCell="A1">
      <selection activeCell="E2" sqref="E2:F2"/>
    </sheetView>
  </sheetViews>
  <sheetFormatPr defaultColWidth="10.875" defaultRowHeight="12.75"/>
  <cols>
    <col min="1" max="1" width="25.625" style="6" customWidth="1"/>
    <col min="2" max="2" width="9.25390625" style="6" customWidth="1"/>
    <col min="3" max="3" width="16.625" style="6" customWidth="1"/>
    <col min="4" max="4" width="3.00390625" style="6" customWidth="1"/>
    <col min="5" max="5" width="8.875" style="6" customWidth="1"/>
    <col min="6" max="6" width="11.50390625" style="6" bestFit="1" customWidth="1"/>
    <col min="7" max="7" width="9.625" style="6" bestFit="1" customWidth="1"/>
    <col min="8" max="9" width="12.75390625" style="6" customWidth="1"/>
    <col min="10" max="10" width="18.875" style="6" customWidth="1"/>
    <col min="11" max="12" width="11.625" style="6" customWidth="1"/>
    <col min="13" max="13" width="8.125" style="6" bestFit="1" customWidth="1"/>
    <col min="14" max="19" width="15.625" style="6" customWidth="1"/>
    <col min="20" max="20" width="3.00390625" style="6" customWidth="1"/>
    <col min="21" max="21" width="9.25390625" style="6" customWidth="1"/>
    <col min="22" max="22" width="4.125" style="6" customWidth="1"/>
    <col min="23" max="23" width="12.00390625" style="6" customWidth="1"/>
    <col min="24" max="24" width="4.125" style="6" customWidth="1"/>
    <col min="25" max="25" width="8.625" style="6" customWidth="1"/>
    <col min="26" max="26" width="4.125" style="6" customWidth="1"/>
    <col min="27" max="27" width="10.875" style="6" customWidth="1"/>
    <col min="28" max="28" width="6.375" style="6" customWidth="1"/>
    <col min="29" max="29" width="10.875" style="6" customWidth="1"/>
    <col min="30" max="30" width="4.125" style="6" customWidth="1"/>
    <col min="31" max="31" width="8.625" style="6" customWidth="1"/>
    <col min="32" max="32" width="4.125" style="6" customWidth="1"/>
    <col min="33" max="33" width="9.75390625" style="6" customWidth="1"/>
    <col min="34" max="34" width="8.625" style="6" customWidth="1"/>
    <col min="35" max="16384" width="10.875" style="6" customWidth="1"/>
  </cols>
  <sheetData>
    <row r="1" spans="1:35" ht="15.75">
      <c r="A1" s="7" t="s">
        <v>7</v>
      </c>
      <c r="B1" s="8"/>
      <c r="C1" s="5" t="s">
        <v>8</v>
      </c>
      <c r="D1" s="9"/>
      <c r="E1" s="9"/>
      <c r="F1" s="10"/>
      <c r="G1" s="10"/>
      <c r="H1" s="8"/>
      <c r="I1" s="8"/>
      <c r="J1" s="8"/>
      <c r="K1" s="8"/>
      <c r="L1" s="8"/>
      <c r="M1" s="8"/>
      <c r="N1" s="11" t="s">
        <v>9</v>
      </c>
      <c r="O1" s="8"/>
      <c r="P1" s="8"/>
      <c r="Q1" s="8"/>
      <c r="R1" s="8"/>
      <c r="S1" s="12"/>
      <c r="T1" s="13"/>
      <c r="AG1" s="14"/>
      <c r="AI1" s="14"/>
    </row>
    <row r="2" spans="1:35" ht="18">
      <c r="A2" s="15" t="s">
        <v>10</v>
      </c>
      <c r="C2" s="101">
        <f>SUM(RATES!E2)</f>
        <v>44012</v>
      </c>
      <c r="D2" s="102" t="s">
        <v>93</v>
      </c>
      <c r="E2" s="292">
        <f>SUM(RATES!G2)</f>
        <v>45106</v>
      </c>
      <c r="F2" s="292"/>
      <c r="L2" s="6" t="s">
        <v>0</v>
      </c>
      <c r="N2" s="16"/>
      <c r="S2" s="17"/>
      <c r="T2" s="13"/>
      <c r="W2" s="14"/>
      <c r="X2" s="14"/>
      <c r="Y2" s="14"/>
      <c r="Z2" s="14"/>
      <c r="AA2" s="14"/>
      <c r="AB2" s="14"/>
      <c r="AC2" s="14"/>
      <c r="AD2" s="14"/>
      <c r="AE2" s="14"/>
      <c r="AF2" s="14"/>
      <c r="AG2" s="14"/>
      <c r="AH2" s="14"/>
      <c r="AI2" s="14"/>
    </row>
    <row r="3" spans="1:35" ht="18">
      <c r="A3" s="15"/>
      <c r="C3" s="103"/>
      <c r="D3" s="104"/>
      <c r="E3" s="104"/>
      <c r="F3" s="6" t="s">
        <v>0</v>
      </c>
      <c r="J3" s="18"/>
      <c r="N3" s="16" t="s">
        <v>0</v>
      </c>
      <c r="S3" s="17"/>
      <c r="T3" s="13"/>
      <c r="W3" s="14"/>
      <c r="Y3" s="14"/>
      <c r="AA3" s="14"/>
      <c r="AC3" s="14"/>
      <c r="AE3" s="14"/>
      <c r="AG3" s="14"/>
      <c r="AI3" s="14"/>
    </row>
    <row r="4" spans="1:19" s="197" customFormat="1" ht="16.5" customHeight="1">
      <c r="A4" s="199"/>
      <c r="B4" s="289" t="s">
        <v>196</v>
      </c>
      <c r="C4" s="196"/>
      <c r="E4" s="196"/>
      <c r="F4" s="196" t="s">
        <v>13</v>
      </c>
      <c r="G4" s="196"/>
      <c r="H4" s="198" t="s">
        <v>160</v>
      </c>
      <c r="I4" s="198" t="s">
        <v>158</v>
      </c>
      <c r="J4" s="196"/>
      <c r="K4" s="196" t="s">
        <v>15</v>
      </c>
      <c r="L4" s="196"/>
      <c r="M4" s="196"/>
      <c r="N4" s="196"/>
      <c r="O4" s="196"/>
      <c r="P4" s="196"/>
      <c r="Q4" s="196"/>
      <c r="R4" s="196"/>
      <c r="S4" s="196"/>
    </row>
    <row r="5" spans="1:19" s="189" customFormat="1" ht="15.75">
      <c r="A5" s="200" t="s">
        <v>197</v>
      </c>
      <c r="B5" s="290"/>
      <c r="C5" s="190" t="s">
        <v>11</v>
      </c>
      <c r="E5" s="190" t="s">
        <v>12</v>
      </c>
      <c r="F5" s="190" t="s">
        <v>162</v>
      </c>
      <c r="G5" s="190" t="s">
        <v>143</v>
      </c>
      <c r="H5" s="191" t="s">
        <v>161</v>
      </c>
      <c r="I5" s="191" t="s">
        <v>18</v>
      </c>
      <c r="J5" s="190" t="s">
        <v>14</v>
      </c>
      <c r="K5" s="190" t="s">
        <v>163</v>
      </c>
      <c r="L5" s="190" t="s">
        <v>15</v>
      </c>
      <c r="M5" s="190" t="s">
        <v>16</v>
      </c>
      <c r="N5" s="190" t="s">
        <v>17</v>
      </c>
      <c r="O5" s="190" t="s">
        <v>17</v>
      </c>
      <c r="P5" s="190" t="s">
        <v>17</v>
      </c>
      <c r="Q5" s="190" t="s">
        <v>17</v>
      </c>
      <c r="R5" s="190" t="s">
        <v>17</v>
      </c>
      <c r="S5" s="190" t="s">
        <v>17</v>
      </c>
    </row>
    <row r="6" spans="1:36" s="193" customFormat="1" ht="15.75">
      <c r="A6" s="201"/>
      <c r="B6" s="291"/>
      <c r="C6" s="192" t="s">
        <v>18</v>
      </c>
      <c r="E6" s="192" t="s">
        <v>19</v>
      </c>
      <c r="F6" s="192" t="s">
        <v>18</v>
      </c>
      <c r="G6" s="192" t="s">
        <v>144</v>
      </c>
      <c r="H6" s="194" t="s">
        <v>14</v>
      </c>
      <c r="I6" s="194" t="s">
        <v>159</v>
      </c>
      <c r="J6" s="192" t="s">
        <v>20</v>
      </c>
      <c r="K6" s="192" t="s">
        <v>21</v>
      </c>
      <c r="L6" s="192" t="s">
        <v>22</v>
      </c>
      <c r="M6" s="192" t="s">
        <v>23</v>
      </c>
      <c r="N6" s="192" t="s">
        <v>24</v>
      </c>
      <c r="O6" s="192" t="s">
        <v>25</v>
      </c>
      <c r="P6" s="192" t="s">
        <v>26</v>
      </c>
      <c r="Q6" s="192" t="s">
        <v>27</v>
      </c>
      <c r="R6" s="192" t="s">
        <v>28</v>
      </c>
      <c r="W6" s="195"/>
      <c r="Y6" s="195"/>
      <c r="AA6" s="195"/>
      <c r="AC6" s="195"/>
      <c r="AE6" s="195"/>
      <c r="AG6" s="195"/>
      <c r="AI6" s="195"/>
      <c r="AJ6" s="195"/>
    </row>
    <row r="7" spans="1:35" s="177" customFormat="1" ht="18">
      <c r="A7" s="175"/>
      <c r="B7" s="176" t="s">
        <v>62</v>
      </c>
      <c r="C7" s="177" t="s">
        <v>201</v>
      </c>
      <c r="D7" s="178"/>
      <c r="E7" s="179" t="s">
        <v>147</v>
      </c>
      <c r="F7" s="180">
        <v>0</v>
      </c>
      <c r="G7" s="181">
        <f>IF(E7="CAL",(52*F7/4.3333),(IF(E7="ACAD",(36.35*F7/4.33333),IF(E7="SUMR",(15.65*F7/4.33333),IF(E7="PT",(0),0)))))</f>
        <v>0</v>
      </c>
      <c r="H7" s="182">
        <v>0</v>
      </c>
      <c r="I7" s="182">
        <f>SUM(H7*1.02)</f>
        <v>0</v>
      </c>
      <c r="J7" s="143">
        <f>ROUND(+I7*F7,0)</f>
        <v>0</v>
      </c>
      <c r="K7" s="183">
        <f>IF(B7="F",RATES!$E$38,IF(B7="E",RATES!$E$39,IF(B7="DCF",RATES!$E$40,IF(B7="NE",RATES!$E$41,IF(B7="S",RATES!$E$42,IF(B7="PT",RATES!$E$43,0))))))</f>
        <v>0.284</v>
      </c>
      <c r="L7" s="143">
        <f aca="true" t="shared" si="0" ref="L7:L16">ROUND(K7*J7,0)</f>
        <v>0</v>
      </c>
      <c r="M7" s="184">
        <v>0</v>
      </c>
      <c r="N7" s="143">
        <f aca="true" t="shared" si="1" ref="N7:N16">J7*(1+M7)+L7</f>
        <v>0</v>
      </c>
      <c r="O7" s="143">
        <f>N7*Ref!Year2Inc</f>
        <v>0</v>
      </c>
      <c r="P7" s="143">
        <f>O7*Ref!Year2Inc</f>
        <v>0</v>
      </c>
      <c r="Q7" s="143">
        <f>P7*Ref!Year2Inc</f>
        <v>0</v>
      </c>
      <c r="R7" s="143">
        <f>Q7*Ref!Year2Inc</f>
        <v>0</v>
      </c>
      <c r="S7" s="143">
        <f aca="true" t="shared" si="2" ref="S7:S16">SUM(N7:R7)</f>
        <v>0</v>
      </c>
      <c r="W7" s="143"/>
      <c r="Y7" s="143"/>
      <c r="AA7" s="143"/>
      <c r="AC7" s="143"/>
      <c r="AE7" s="143"/>
      <c r="AG7" s="143"/>
      <c r="AI7" s="143"/>
    </row>
    <row r="8" spans="1:35" s="177" customFormat="1" ht="18">
      <c r="A8" s="175"/>
      <c r="B8" s="176" t="s">
        <v>62</v>
      </c>
      <c r="D8" s="178"/>
      <c r="E8" s="179" t="s">
        <v>147</v>
      </c>
      <c r="F8" s="180">
        <v>0</v>
      </c>
      <c r="G8" s="181">
        <f aca="true" t="shared" si="3" ref="G8:G16">IF(E8="CAL",(52*F8/4.3333),(IF(E8="ACAD",(36.35*F8/4.33333),IF(E8="SUMR",(15.65*F8/4.33333),IF(E8="PT",(0),0)))))</f>
        <v>0</v>
      </c>
      <c r="H8" s="182">
        <v>0</v>
      </c>
      <c r="I8" s="182">
        <f>SUM(H8*1.02)</f>
        <v>0</v>
      </c>
      <c r="J8" s="143">
        <f aca="true" t="shared" si="4" ref="J8:J16">ROUND(+I8*F8,0)</f>
        <v>0</v>
      </c>
      <c r="K8" s="183">
        <f>IF(B8="F",RATES!$E$38,IF(B8="E",RATES!$E$39,IF(B8="DCF",RATES!$E$40,IF(B8="NE",RATES!$E$41,IF(B8="S",RATES!$E$42,IF(B8="PT",RATES!$E$43,0))))))</f>
        <v>0.284</v>
      </c>
      <c r="L8" s="143">
        <f t="shared" si="0"/>
        <v>0</v>
      </c>
      <c r="M8" s="184">
        <v>0</v>
      </c>
      <c r="N8" s="143">
        <f t="shared" si="1"/>
        <v>0</v>
      </c>
      <c r="O8" s="143">
        <f>N8*Ref!Year2Inc</f>
        <v>0</v>
      </c>
      <c r="P8" s="143">
        <f>O8*Ref!Year3Inc</f>
        <v>0</v>
      </c>
      <c r="Q8" s="143">
        <f>P8*Ref!Year4Inc</f>
        <v>0</v>
      </c>
      <c r="R8" s="143">
        <f>Q8*Ref!Year4Inc</f>
        <v>0</v>
      </c>
      <c r="S8" s="143">
        <f t="shared" si="2"/>
        <v>0</v>
      </c>
      <c r="W8" s="143"/>
      <c r="Y8" s="143"/>
      <c r="AA8" s="143"/>
      <c r="AC8" s="143"/>
      <c r="AE8" s="143"/>
      <c r="AG8" s="143"/>
      <c r="AI8" s="143"/>
    </row>
    <row r="9" spans="1:35" s="177" customFormat="1" ht="18">
      <c r="A9" s="175"/>
      <c r="B9" s="176" t="s">
        <v>221</v>
      </c>
      <c r="D9" s="178"/>
      <c r="E9" s="179" t="s">
        <v>147</v>
      </c>
      <c r="F9" s="180">
        <v>0</v>
      </c>
      <c r="G9" s="181">
        <f t="shared" si="3"/>
        <v>0</v>
      </c>
      <c r="H9" s="182">
        <v>0</v>
      </c>
      <c r="I9" s="182">
        <f aca="true" t="shared" si="5" ref="I9:I16">SUM(H9*1.02)</f>
        <v>0</v>
      </c>
      <c r="J9" s="143">
        <f t="shared" si="4"/>
        <v>0</v>
      </c>
      <c r="K9" s="183">
        <f>IF(B9="F",RATES!$E$38,IF(B9="E",RATES!$E$39,IF(B9="DCF",RATES!$E$40,IF(B9="NE",RATES!$E$41,IF(B9="S",RATES!$E$42,IF(B9="PT",RATES!$E$43,0))))))</f>
        <v>0.381</v>
      </c>
      <c r="L9" s="143">
        <f t="shared" si="0"/>
        <v>0</v>
      </c>
      <c r="M9" s="184">
        <v>0</v>
      </c>
      <c r="N9" s="143">
        <f t="shared" si="1"/>
        <v>0</v>
      </c>
      <c r="O9" s="143">
        <f>N9*Ref!Year2Inc</f>
        <v>0</v>
      </c>
      <c r="P9" s="143">
        <f>O9*Ref!Year3Inc</f>
        <v>0</v>
      </c>
      <c r="Q9" s="143">
        <f>P9*Ref!Year4Inc</f>
        <v>0</v>
      </c>
      <c r="R9" s="143">
        <f>Q9*Ref!Year4Inc</f>
        <v>0</v>
      </c>
      <c r="S9" s="143">
        <f t="shared" si="2"/>
        <v>0</v>
      </c>
      <c r="W9" s="143"/>
      <c r="Y9" s="143"/>
      <c r="AA9" s="143"/>
      <c r="AC9" s="143"/>
      <c r="AE9" s="143"/>
      <c r="AG9" s="143"/>
      <c r="AI9" s="143"/>
    </row>
    <row r="10" spans="1:35" s="177" customFormat="1" ht="18">
      <c r="A10" s="175"/>
      <c r="B10" s="176" t="s">
        <v>62</v>
      </c>
      <c r="D10" s="178"/>
      <c r="E10" s="179" t="s">
        <v>147</v>
      </c>
      <c r="F10" s="180">
        <v>0</v>
      </c>
      <c r="G10" s="181">
        <f t="shared" si="3"/>
        <v>0</v>
      </c>
      <c r="H10" s="182">
        <v>0</v>
      </c>
      <c r="I10" s="182">
        <f t="shared" si="5"/>
        <v>0</v>
      </c>
      <c r="J10" s="143">
        <f t="shared" si="4"/>
        <v>0</v>
      </c>
      <c r="K10" s="183">
        <f>IF(B10="F",RATES!$E$38,IF(B10="E",RATES!$E$39,IF(B10="DCF",RATES!$E$40,IF(B10="NE",RATES!$E$41,IF(B10="S",RATES!$E$42,IF(B10="PT",RATES!$E$43,0))))))</f>
        <v>0.284</v>
      </c>
      <c r="L10" s="143">
        <f t="shared" si="0"/>
        <v>0</v>
      </c>
      <c r="M10" s="184">
        <v>0</v>
      </c>
      <c r="N10" s="143">
        <f t="shared" si="1"/>
        <v>0</v>
      </c>
      <c r="O10" s="143">
        <f>N10*Ref!Year2Inc</f>
        <v>0</v>
      </c>
      <c r="P10" s="143">
        <f>O10*Ref!Year3Inc</f>
        <v>0</v>
      </c>
      <c r="Q10" s="143">
        <f>P10*Ref!Year4Inc</f>
        <v>0</v>
      </c>
      <c r="R10" s="143">
        <f>Q10*Ref!Year4Inc</f>
        <v>0</v>
      </c>
      <c r="S10" s="143">
        <f t="shared" si="2"/>
        <v>0</v>
      </c>
      <c r="W10" s="143"/>
      <c r="Y10" s="143"/>
      <c r="AA10" s="143"/>
      <c r="AC10" s="143"/>
      <c r="AE10" s="143"/>
      <c r="AG10" s="143"/>
      <c r="AI10" s="143"/>
    </row>
    <row r="11" spans="1:19" s="177" customFormat="1" ht="18">
      <c r="A11" s="175"/>
      <c r="B11" s="176" t="s">
        <v>62</v>
      </c>
      <c r="D11" s="178"/>
      <c r="E11" s="179" t="s">
        <v>147</v>
      </c>
      <c r="F11" s="180">
        <v>0</v>
      </c>
      <c r="G11" s="181">
        <f t="shared" si="3"/>
        <v>0</v>
      </c>
      <c r="H11" s="182">
        <v>0</v>
      </c>
      <c r="I11" s="182">
        <f t="shared" si="5"/>
        <v>0</v>
      </c>
      <c r="J11" s="143">
        <f t="shared" si="4"/>
        <v>0</v>
      </c>
      <c r="K11" s="183">
        <f>IF(B11="F",RATES!$E$38,IF(B11="E",RATES!$E$39,IF(B11="DCF",RATES!$E$40,IF(B11="NE",RATES!$E$41,IF(B11="S",RATES!$E$42,IF(B11="PT",RATES!$E$43,0))))))</f>
        <v>0.284</v>
      </c>
      <c r="L11" s="143">
        <f t="shared" si="0"/>
        <v>0</v>
      </c>
      <c r="M11" s="184">
        <v>0</v>
      </c>
      <c r="N11" s="143">
        <f t="shared" si="1"/>
        <v>0</v>
      </c>
      <c r="O11" s="143">
        <f>N11*Ref!Year2Inc</f>
        <v>0</v>
      </c>
      <c r="P11" s="143">
        <f>O11*Ref!Year3Inc</f>
        <v>0</v>
      </c>
      <c r="Q11" s="143">
        <f>P11*Ref!Year4Inc</f>
        <v>0</v>
      </c>
      <c r="R11" s="143">
        <f>Q11*Ref!Year4Inc</f>
        <v>0</v>
      </c>
      <c r="S11" s="143">
        <f t="shared" si="2"/>
        <v>0</v>
      </c>
    </row>
    <row r="12" spans="1:19" s="177" customFormat="1" ht="18">
      <c r="A12" s="175"/>
      <c r="B12" s="176" t="s">
        <v>63</v>
      </c>
      <c r="D12" s="178"/>
      <c r="E12" s="179" t="s">
        <v>147</v>
      </c>
      <c r="F12" s="180">
        <v>0</v>
      </c>
      <c r="G12" s="181">
        <f t="shared" si="3"/>
        <v>0</v>
      </c>
      <c r="H12" s="182">
        <v>0</v>
      </c>
      <c r="I12" s="182">
        <f t="shared" si="5"/>
        <v>0</v>
      </c>
      <c r="J12" s="143">
        <f t="shared" si="4"/>
        <v>0</v>
      </c>
      <c r="K12" s="183">
        <f>IF(B12="F",RATES!$E$38,IF(B12="E",RATES!$E$39,IF(B12="DCF",RATES!$E$40,IF(B12="NE",RATES!$E$41,IF(B12="S",RATES!$E$42,IF(B12="PT",RATES!$E$43,0))))))</f>
        <v>0.322</v>
      </c>
      <c r="L12" s="143">
        <f t="shared" si="0"/>
        <v>0</v>
      </c>
      <c r="M12" s="184">
        <v>0</v>
      </c>
      <c r="N12" s="143">
        <f t="shared" si="1"/>
        <v>0</v>
      </c>
      <c r="O12" s="143">
        <f>N12*Ref!Year2Inc</f>
        <v>0</v>
      </c>
      <c r="P12" s="143">
        <f>O12*Ref!Year3Inc</f>
        <v>0</v>
      </c>
      <c r="Q12" s="143">
        <f>P12*Ref!Year4Inc</f>
        <v>0</v>
      </c>
      <c r="R12" s="143">
        <f>Q12*Ref!Year4Inc</f>
        <v>0</v>
      </c>
      <c r="S12" s="143">
        <f t="shared" si="2"/>
        <v>0</v>
      </c>
    </row>
    <row r="13" spans="1:19" s="177" customFormat="1" ht="18">
      <c r="A13" s="185"/>
      <c r="B13" s="176" t="s">
        <v>63</v>
      </c>
      <c r="C13" s="175"/>
      <c r="D13" s="178"/>
      <c r="E13" s="179" t="s">
        <v>147</v>
      </c>
      <c r="F13" s="180">
        <v>0</v>
      </c>
      <c r="G13" s="181">
        <f t="shared" si="3"/>
        <v>0</v>
      </c>
      <c r="H13" s="182">
        <v>0</v>
      </c>
      <c r="I13" s="182">
        <f t="shared" si="5"/>
        <v>0</v>
      </c>
      <c r="J13" s="143">
        <f t="shared" si="4"/>
        <v>0</v>
      </c>
      <c r="K13" s="183">
        <f>IF(B13="F",RATES!$E$38,IF(B13="E",RATES!$E$39,IF(B13="DCF",RATES!$E$40,IF(B13="NE",RATES!$E$41,IF(B13="S",RATES!$E$42,IF(B13="PT",RATES!$E$43,0))))))</f>
        <v>0.322</v>
      </c>
      <c r="L13" s="143">
        <f t="shared" si="0"/>
        <v>0</v>
      </c>
      <c r="M13" s="184">
        <v>0</v>
      </c>
      <c r="N13" s="143">
        <f t="shared" si="1"/>
        <v>0</v>
      </c>
      <c r="O13" s="143">
        <f>N13*Ref!Year2Inc</f>
        <v>0</v>
      </c>
      <c r="P13" s="143">
        <f>O13*Ref!Year3Inc</f>
        <v>0</v>
      </c>
      <c r="Q13" s="143">
        <f>P13*Ref!Year4Inc</f>
        <v>0</v>
      </c>
      <c r="R13" s="143">
        <f>Q13*Ref!Year5Inc</f>
        <v>0</v>
      </c>
      <c r="S13" s="143">
        <f t="shared" si="2"/>
        <v>0</v>
      </c>
    </row>
    <row r="14" spans="1:19" s="177" customFormat="1" ht="18">
      <c r="A14" s="186"/>
      <c r="B14" s="176" t="s">
        <v>63</v>
      </c>
      <c r="C14" s="187"/>
      <c r="E14" s="179" t="s">
        <v>147</v>
      </c>
      <c r="F14" s="188">
        <v>0</v>
      </c>
      <c r="G14" s="181">
        <f t="shared" si="3"/>
        <v>0</v>
      </c>
      <c r="H14" s="182">
        <v>0</v>
      </c>
      <c r="I14" s="182">
        <f t="shared" si="5"/>
        <v>0</v>
      </c>
      <c r="J14" s="143">
        <f t="shared" si="4"/>
        <v>0</v>
      </c>
      <c r="K14" s="183">
        <f>IF(B14="F",RATES!$E$38,IF(B14="E",RATES!$E$39,IF(B14="DCF",RATES!$E$40,IF(B14="NE",RATES!$E$41,IF(B14="S",RATES!$E$42,IF(B14="PT",RATES!$E$43,0))))))</f>
        <v>0.322</v>
      </c>
      <c r="L14" s="143">
        <f t="shared" si="0"/>
        <v>0</v>
      </c>
      <c r="M14" s="184">
        <v>0</v>
      </c>
      <c r="N14" s="143">
        <f t="shared" si="1"/>
        <v>0</v>
      </c>
      <c r="O14" s="143">
        <f>N14*Ref!Year2Inc</f>
        <v>0</v>
      </c>
      <c r="P14" s="143">
        <f>O14*Ref!Year3Inc</f>
        <v>0</v>
      </c>
      <c r="Q14" s="143">
        <f>P14*Ref!Year4Inc</f>
        <v>0</v>
      </c>
      <c r="R14" s="143">
        <f>Q14*Ref!Year5Inc</f>
        <v>0</v>
      </c>
      <c r="S14" s="143">
        <f t="shared" si="2"/>
        <v>0</v>
      </c>
    </row>
    <row r="15" spans="1:19" s="177" customFormat="1" ht="18">
      <c r="A15" s="185"/>
      <c r="B15" s="176" t="s">
        <v>65</v>
      </c>
      <c r="C15" s="175"/>
      <c r="D15" s="178"/>
      <c r="E15" s="179" t="s">
        <v>147</v>
      </c>
      <c r="F15" s="180">
        <v>0</v>
      </c>
      <c r="G15" s="181">
        <f t="shared" si="3"/>
        <v>0</v>
      </c>
      <c r="H15" s="182">
        <v>0</v>
      </c>
      <c r="I15" s="182">
        <f t="shared" si="5"/>
        <v>0</v>
      </c>
      <c r="J15" s="143">
        <f t="shared" si="4"/>
        <v>0</v>
      </c>
      <c r="K15" s="183">
        <f>IF(B15="F",RATES!$E$38,IF(B15="E",RATES!$E$39,IF(B15="DCF",RATES!$E$40,IF(B15="NE",RATES!$E$41,IF(B15="S",RATES!$E$42,IF(B15="PT",RATES!$E$43,0))))))</f>
        <v>0.09200000000000001</v>
      </c>
      <c r="L15" s="143">
        <f t="shared" si="0"/>
        <v>0</v>
      </c>
      <c r="M15" s="184">
        <v>0</v>
      </c>
      <c r="N15" s="143">
        <f t="shared" si="1"/>
        <v>0</v>
      </c>
      <c r="O15" s="143">
        <f>N15*Ref!Year2Inc</f>
        <v>0</v>
      </c>
      <c r="P15" s="143">
        <f>O15*Ref!Year3Inc</f>
        <v>0</v>
      </c>
      <c r="Q15" s="143">
        <f>P15*Ref!Year4Inc</f>
        <v>0</v>
      </c>
      <c r="R15" s="143">
        <f>Q15*Ref!Year5Inc</f>
        <v>0</v>
      </c>
      <c r="S15" s="143">
        <f t="shared" si="2"/>
        <v>0</v>
      </c>
    </row>
    <row r="16" spans="1:19" s="177" customFormat="1" ht="18">
      <c r="A16" s="186"/>
      <c r="B16" s="176" t="s">
        <v>65</v>
      </c>
      <c r="C16" s="187"/>
      <c r="E16" s="179" t="s">
        <v>147</v>
      </c>
      <c r="F16" s="188">
        <v>0</v>
      </c>
      <c r="G16" s="181">
        <f t="shared" si="3"/>
        <v>0</v>
      </c>
      <c r="H16" s="182">
        <v>0</v>
      </c>
      <c r="I16" s="182">
        <f t="shared" si="5"/>
        <v>0</v>
      </c>
      <c r="J16" s="143">
        <f t="shared" si="4"/>
        <v>0</v>
      </c>
      <c r="K16" s="183">
        <f>IF(B16="F",RATES!$E$38,IF(B16="E",RATES!$E$39,IF(B16="DCF",RATES!$E$40,IF(B16="NE",RATES!$E$41,IF(B16="S",RATES!$E$42,IF(B16="PT",RATES!$E$43,0))))))</f>
        <v>0.09200000000000001</v>
      </c>
      <c r="L16" s="143">
        <f t="shared" si="0"/>
        <v>0</v>
      </c>
      <c r="M16" s="184">
        <v>0</v>
      </c>
      <c r="N16" s="143">
        <f t="shared" si="1"/>
        <v>0</v>
      </c>
      <c r="O16" s="143">
        <f>N16*Ref!Year2Inc</f>
        <v>0</v>
      </c>
      <c r="P16" s="143">
        <f>O16*Ref!Year3Inc</f>
        <v>0</v>
      </c>
      <c r="Q16" s="143">
        <f>P16*Ref!Year4Inc</f>
        <v>0</v>
      </c>
      <c r="R16" s="143">
        <f>Q16*Ref!Year5Inc</f>
        <v>0</v>
      </c>
      <c r="S16" s="143">
        <f t="shared" si="2"/>
        <v>0</v>
      </c>
    </row>
    <row r="17" spans="1:19" ht="18">
      <c r="A17" s="41"/>
      <c r="B17" s="13"/>
      <c r="C17" s="13"/>
      <c r="D17" s="13"/>
      <c r="E17" s="13"/>
      <c r="F17" s="42"/>
      <c r="G17" s="13"/>
      <c r="H17" s="13"/>
      <c r="I17" s="13"/>
      <c r="J17" s="13"/>
      <c r="K17" s="13"/>
      <c r="L17" s="13"/>
      <c r="M17" s="20"/>
      <c r="N17" s="113"/>
      <c r="O17" s="113"/>
      <c r="P17" s="113"/>
      <c r="Q17" s="113"/>
      <c r="R17" s="113"/>
      <c r="S17" s="113"/>
    </row>
    <row r="18" spans="1:35" ht="18">
      <c r="A18" s="43" t="s">
        <v>29</v>
      </c>
      <c r="B18" s="13"/>
      <c r="C18" s="13"/>
      <c r="D18" s="13"/>
      <c r="E18" s="44"/>
      <c r="F18" s="44"/>
      <c r="G18" s="45"/>
      <c r="H18" s="13"/>
      <c r="I18" s="13"/>
      <c r="J18" s="119">
        <f>SUM(J6:J17)</f>
        <v>0</v>
      </c>
      <c r="K18" s="120"/>
      <c r="L18" s="119">
        <f>SUM(L6:L17)</f>
        <v>0</v>
      </c>
      <c r="M18" s="121"/>
      <c r="N18" s="119">
        <f aca="true" t="shared" si="6" ref="N18:S18">SUM(N6:N17)</f>
        <v>0</v>
      </c>
      <c r="O18" s="119">
        <f t="shared" si="6"/>
        <v>0</v>
      </c>
      <c r="P18" s="119">
        <f t="shared" si="6"/>
        <v>0</v>
      </c>
      <c r="Q18" s="119">
        <f t="shared" si="6"/>
        <v>0</v>
      </c>
      <c r="R18" s="119">
        <f t="shared" si="6"/>
        <v>0</v>
      </c>
      <c r="S18" s="119">
        <f t="shared" si="6"/>
        <v>0</v>
      </c>
      <c r="AE18" s="21"/>
      <c r="AF18" s="14"/>
      <c r="AG18" s="14"/>
      <c r="AI18" s="14"/>
    </row>
    <row r="19" spans="1:29" ht="18">
      <c r="A19" s="105" t="s">
        <v>166</v>
      </c>
      <c r="B19" s="106"/>
      <c r="C19" s="106"/>
      <c r="D19" s="13"/>
      <c r="E19" s="13"/>
      <c r="F19" s="13"/>
      <c r="G19" s="47"/>
      <c r="H19" s="13"/>
      <c r="I19" s="13"/>
      <c r="J19" s="13"/>
      <c r="K19" s="13"/>
      <c r="L19" s="13"/>
      <c r="M19" s="13"/>
      <c r="N19" s="117"/>
      <c r="O19" s="117"/>
      <c r="P19" s="117"/>
      <c r="Q19" s="117"/>
      <c r="R19" s="117"/>
      <c r="S19" s="117"/>
      <c r="W19" s="14"/>
      <c r="X19" s="22"/>
      <c r="Y19" s="21"/>
      <c r="Z19" s="22"/>
      <c r="AA19" s="14"/>
      <c r="AC19" s="14"/>
    </row>
    <row r="20" spans="1:29" ht="18">
      <c r="A20" s="69" t="s">
        <v>165</v>
      </c>
      <c r="B20" s="70"/>
      <c r="C20" s="70"/>
      <c r="D20" s="70"/>
      <c r="E20" s="70"/>
      <c r="F20" s="70"/>
      <c r="G20" s="70"/>
      <c r="H20" s="70"/>
      <c r="I20" s="124" t="s">
        <v>3</v>
      </c>
      <c r="J20" s="125"/>
      <c r="K20" s="126"/>
      <c r="L20" s="126"/>
      <c r="M20" s="126"/>
      <c r="N20" s="142">
        <v>0</v>
      </c>
      <c r="O20" s="142">
        <f>ROUND(N20*1.02,0)</f>
        <v>0</v>
      </c>
      <c r="P20" s="142">
        <f>ROUND(O20*1.02,0)</f>
        <v>0</v>
      </c>
      <c r="Q20" s="142">
        <f>ROUND(P20*1.02,0)</f>
        <v>0</v>
      </c>
      <c r="R20" s="142">
        <f>ROUND(Q20*1.02,0)</f>
        <v>0</v>
      </c>
      <c r="S20" s="143">
        <f>SUM(M20:R20)</f>
        <v>0</v>
      </c>
      <c r="W20" s="14"/>
      <c r="X20" s="22"/>
      <c r="Y20" s="21"/>
      <c r="Z20" s="22"/>
      <c r="AA20" s="14"/>
      <c r="AB20" s="14"/>
      <c r="AC20" s="14"/>
    </row>
    <row r="21" spans="1:35" ht="18">
      <c r="A21" s="71" t="s">
        <v>199</v>
      </c>
      <c r="B21" s="53"/>
      <c r="C21" s="53"/>
      <c r="D21" s="53"/>
      <c r="E21" s="53"/>
      <c r="F21" s="53"/>
      <c r="G21" s="53"/>
      <c r="H21" s="72"/>
      <c r="I21" s="13"/>
      <c r="J21" s="13"/>
      <c r="K21" s="109"/>
      <c r="L21" s="109"/>
      <c r="M21" s="109"/>
      <c r="N21" s="123"/>
      <c r="O21" s="115"/>
      <c r="P21" s="115"/>
      <c r="Q21" s="115"/>
      <c r="R21" s="115"/>
      <c r="S21" s="115"/>
      <c r="W21" s="14"/>
      <c r="X21" s="22"/>
      <c r="Y21" s="21"/>
      <c r="Z21" s="22"/>
      <c r="AA21" s="14"/>
      <c r="AC21" s="14"/>
      <c r="AE21" s="21"/>
      <c r="AF21" s="14"/>
      <c r="AG21" s="14"/>
      <c r="AH21" s="14"/>
      <c r="AI21" s="14"/>
    </row>
    <row r="22" spans="1:35" ht="18">
      <c r="A22" s="73" t="s">
        <v>194</v>
      </c>
      <c r="B22" s="53"/>
      <c r="C22" s="53"/>
      <c r="D22" s="53"/>
      <c r="E22" s="53"/>
      <c r="F22" s="53"/>
      <c r="G22" s="53"/>
      <c r="H22" s="53"/>
      <c r="I22" s="128" t="s">
        <v>4</v>
      </c>
      <c r="J22" s="129"/>
      <c r="K22" s="126"/>
      <c r="L22" s="126"/>
      <c r="M22" s="127"/>
      <c r="N22" s="142">
        <v>0</v>
      </c>
      <c r="O22" s="142">
        <v>0</v>
      </c>
      <c r="P22" s="142">
        <v>0</v>
      </c>
      <c r="Q22" s="142">
        <v>0</v>
      </c>
      <c r="R22" s="142">
        <v>0</v>
      </c>
      <c r="S22" s="143">
        <f>SUM(M22:R22)</f>
        <v>0</v>
      </c>
      <c r="W22" s="14"/>
      <c r="X22" s="22"/>
      <c r="Y22" s="21"/>
      <c r="Z22" s="22"/>
      <c r="AA22" s="14"/>
      <c r="AG22" s="14"/>
      <c r="AI22" s="14"/>
    </row>
    <row r="23" spans="1:27" ht="18">
      <c r="A23" s="74" t="s">
        <v>164</v>
      </c>
      <c r="B23" s="53"/>
      <c r="C23" s="53"/>
      <c r="D23" s="53"/>
      <c r="E23" s="53"/>
      <c r="F23" s="53"/>
      <c r="G23" s="75"/>
      <c r="H23" s="72"/>
      <c r="I23" s="13"/>
      <c r="J23" s="13"/>
      <c r="K23" s="109"/>
      <c r="L23" s="109"/>
      <c r="M23" s="109"/>
      <c r="N23" s="115"/>
      <c r="O23" s="115"/>
      <c r="P23" s="115"/>
      <c r="Q23" s="115"/>
      <c r="R23" s="115"/>
      <c r="S23" s="115"/>
      <c r="W23" s="23"/>
      <c r="X23" s="22"/>
      <c r="Y23" s="21"/>
      <c r="Z23" s="22"/>
      <c r="AA23" s="23"/>
    </row>
    <row r="24" spans="1:27" ht="18">
      <c r="A24" s="76"/>
      <c r="B24" s="77"/>
      <c r="C24" s="77"/>
      <c r="D24" s="77"/>
      <c r="E24" s="77"/>
      <c r="F24" s="77"/>
      <c r="G24" s="77"/>
      <c r="H24" s="77"/>
      <c r="I24" s="134" t="s">
        <v>5</v>
      </c>
      <c r="J24" s="135" t="s">
        <v>32</v>
      </c>
      <c r="K24" s="126"/>
      <c r="L24" s="126"/>
      <c r="M24" s="127"/>
      <c r="N24" s="142">
        <v>0</v>
      </c>
      <c r="O24" s="142">
        <f aca="true" t="shared" si="7" ref="O24:R25">ROUND(N24*1.02,0)</f>
        <v>0</v>
      </c>
      <c r="P24" s="142">
        <f t="shared" si="7"/>
        <v>0</v>
      </c>
      <c r="Q24" s="142">
        <f t="shared" si="7"/>
        <v>0</v>
      </c>
      <c r="R24" s="142">
        <f t="shared" si="7"/>
        <v>0</v>
      </c>
      <c r="S24" s="143">
        <f>SUM(M24:R24)</f>
        <v>0</v>
      </c>
      <c r="W24" s="14"/>
      <c r="AA24" s="14"/>
    </row>
    <row r="25" spans="1:19" ht="18">
      <c r="A25" s="48" t="s">
        <v>30</v>
      </c>
      <c r="B25" s="49"/>
      <c r="C25" s="49"/>
      <c r="D25" s="13"/>
      <c r="E25" s="44"/>
      <c r="F25" s="44"/>
      <c r="G25" s="13"/>
      <c r="I25" s="134"/>
      <c r="J25" s="135" t="s">
        <v>33</v>
      </c>
      <c r="K25" s="126"/>
      <c r="L25" s="126"/>
      <c r="M25" s="127"/>
      <c r="N25" s="142">
        <v>0</v>
      </c>
      <c r="O25" s="142">
        <f t="shared" si="7"/>
        <v>0</v>
      </c>
      <c r="P25" s="142">
        <f t="shared" si="7"/>
        <v>0</v>
      </c>
      <c r="Q25" s="142">
        <f t="shared" si="7"/>
        <v>0</v>
      </c>
      <c r="R25" s="142">
        <f t="shared" si="7"/>
        <v>0</v>
      </c>
      <c r="S25" s="143">
        <f>SUM(M25:R25)</f>
        <v>0</v>
      </c>
    </row>
    <row r="26" spans="1:19" ht="18">
      <c r="A26" s="107" t="s">
        <v>31</v>
      </c>
      <c r="B26" s="13"/>
      <c r="C26" s="13"/>
      <c r="D26" s="13"/>
      <c r="E26" s="13"/>
      <c r="F26" s="13"/>
      <c r="G26" s="13"/>
      <c r="I26" s="13"/>
      <c r="J26" s="13"/>
      <c r="K26" s="109"/>
      <c r="L26" s="109"/>
      <c r="M26" s="109"/>
      <c r="N26" s="115"/>
      <c r="O26" s="115"/>
      <c r="P26" s="115"/>
      <c r="Q26" s="115"/>
      <c r="R26" s="115"/>
      <c r="S26" s="115"/>
    </row>
    <row r="27" spans="1:37" ht="18">
      <c r="A27" s="46"/>
      <c r="B27" s="13"/>
      <c r="C27" s="13"/>
      <c r="D27" s="13"/>
      <c r="E27" s="13"/>
      <c r="F27" s="13"/>
      <c r="G27" s="13"/>
      <c r="I27" s="136" t="s">
        <v>35</v>
      </c>
      <c r="J27" s="137"/>
      <c r="K27" s="126"/>
      <c r="L27" s="126"/>
      <c r="M27" s="127"/>
      <c r="N27" s="142">
        <v>0</v>
      </c>
      <c r="O27" s="142">
        <f>ROUND(N27*1.02,0)</f>
        <v>0</v>
      </c>
      <c r="P27" s="142">
        <f>ROUND(O27*1.02,0)</f>
        <v>0</v>
      </c>
      <c r="Q27" s="142">
        <f>ROUND(P27*1.02,0)</f>
        <v>0</v>
      </c>
      <c r="R27" s="142">
        <f>ROUND(Q27*1.02,0)</f>
        <v>0</v>
      </c>
      <c r="S27" s="143">
        <f>SUM(M27:R27)</f>
        <v>0</v>
      </c>
      <c r="AE27" s="14"/>
      <c r="AG27" s="14"/>
      <c r="AI27" s="14"/>
      <c r="AK27" s="14"/>
    </row>
    <row r="28" spans="1:37" ht="18">
      <c r="A28" s="50" t="s">
        <v>34</v>
      </c>
      <c r="B28" s="13"/>
      <c r="C28" s="13"/>
      <c r="D28" s="13"/>
      <c r="E28" s="13"/>
      <c r="F28" s="13"/>
      <c r="G28" s="13"/>
      <c r="I28" s="13"/>
      <c r="J28" s="13"/>
      <c r="K28" s="109"/>
      <c r="L28" s="108"/>
      <c r="M28" s="109"/>
      <c r="N28" s="115"/>
      <c r="O28" s="115"/>
      <c r="P28" s="115"/>
      <c r="Q28" s="115"/>
      <c r="R28" s="115"/>
      <c r="S28" s="115"/>
      <c r="AE28" s="14"/>
      <c r="AG28" s="14"/>
      <c r="AI28" s="14"/>
      <c r="AK28" s="14"/>
    </row>
    <row r="29" spans="1:19" ht="18">
      <c r="A29" s="41" t="s">
        <v>154</v>
      </c>
      <c r="B29" s="13"/>
      <c r="C29" s="13"/>
      <c r="D29" s="13"/>
      <c r="E29" s="13"/>
      <c r="F29" s="13"/>
      <c r="G29" s="13"/>
      <c r="I29" s="138" t="s">
        <v>2</v>
      </c>
      <c r="J29" s="139"/>
      <c r="K29" s="126"/>
      <c r="L29" s="126"/>
      <c r="M29" s="127"/>
      <c r="N29" s="142">
        <v>0</v>
      </c>
      <c r="O29" s="142">
        <f>ROUND(N29*1.02,0)</f>
        <v>0</v>
      </c>
      <c r="P29" s="142">
        <f>ROUND(O29*1.02,0)</f>
        <v>0</v>
      </c>
      <c r="Q29" s="142">
        <f>ROUND(P29*1.02,0)</f>
        <v>0</v>
      </c>
      <c r="R29" s="142">
        <f>ROUND(Q29*1.02,0)</f>
        <v>0</v>
      </c>
      <c r="S29" s="143">
        <f>SUM(M29:R29)</f>
        <v>0</v>
      </c>
    </row>
    <row r="30" spans="1:37" ht="18">
      <c r="A30" s="51" t="s">
        <v>36</v>
      </c>
      <c r="B30" s="13"/>
      <c r="C30" s="13"/>
      <c r="D30" s="13"/>
      <c r="E30" s="13"/>
      <c r="F30" s="13"/>
      <c r="G30" s="13"/>
      <c r="I30" s="13"/>
      <c r="J30" s="13"/>
      <c r="K30" s="109"/>
      <c r="L30" s="109"/>
      <c r="M30" s="109"/>
      <c r="N30" s="115"/>
      <c r="O30" s="115"/>
      <c r="P30" s="115"/>
      <c r="Q30" s="115"/>
      <c r="R30" s="115"/>
      <c r="S30" s="115"/>
      <c r="U30" s="14"/>
      <c r="AC30" s="14"/>
      <c r="AE30" s="14"/>
      <c r="AG30" s="14"/>
      <c r="AI30" s="14"/>
      <c r="AK30" s="14"/>
    </row>
    <row r="31" spans="1:37" ht="18">
      <c r="A31" s="41" t="s">
        <v>155</v>
      </c>
      <c r="B31" s="13"/>
      <c r="C31" s="13"/>
      <c r="D31" s="13"/>
      <c r="E31" s="13"/>
      <c r="F31" s="13"/>
      <c r="G31" s="13"/>
      <c r="I31" s="132" t="s">
        <v>37</v>
      </c>
      <c r="J31" s="133"/>
      <c r="K31" s="126"/>
      <c r="L31" s="126"/>
      <c r="M31" s="127"/>
      <c r="N31" s="142">
        <v>0</v>
      </c>
      <c r="O31" s="142">
        <f>ROUND(N31*1.03,0)</f>
        <v>0</v>
      </c>
      <c r="P31" s="142">
        <f>ROUND(O31*1.03,0)</f>
        <v>0</v>
      </c>
      <c r="Q31" s="142">
        <f>ROUND(P31*1.03,0)</f>
        <v>0</v>
      </c>
      <c r="R31" s="142">
        <f>ROUND(Q31*1.03,0)</f>
        <v>0</v>
      </c>
      <c r="S31" s="143">
        <f>SUM(M31:R31)</f>
        <v>0</v>
      </c>
      <c r="U31" s="14"/>
      <c r="AC31" s="14"/>
      <c r="AE31" s="14"/>
      <c r="AG31" s="14"/>
      <c r="AI31" s="14"/>
      <c r="AK31" s="14"/>
    </row>
    <row r="32" spans="1:37" ht="18">
      <c r="A32" s="52" t="s">
        <v>1</v>
      </c>
      <c r="B32" s="13"/>
      <c r="C32" s="13"/>
      <c r="D32" s="13"/>
      <c r="E32" s="13"/>
      <c r="F32" s="13"/>
      <c r="G32" s="13"/>
      <c r="I32" s="13"/>
      <c r="J32" s="13"/>
      <c r="K32" s="109"/>
      <c r="L32" s="109"/>
      <c r="M32" s="109"/>
      <c r="N32" s="115"/>
      <c r="O32" s="115"/>
      <c r="P32" s="115"/>
      <c r="Q32" s="115"/>
      <c r="R32" s="115"/>
      <c r="S32" s="115"/>
      <c r="U32" s="14"/>
      <c r="AC32" s="14"/>
      <c r="AE32" s="14"/>
      <c r="AG32" s="14"/>
      <c r="AI32" s="14"/>
      <c r="AK32" s="14"/>
    </row>
    <row r="33" spans="1:21" ht="18">
      <c r="A33" s="41" t="s">
        <v>156</v>
      </c>
      <c r="B33" s="13"/>
      <c r="C33" s="13"/>
      <c r="D33" s="13"/>
      <c r="E33" s="13"/>
      <c r="F33" s="13"/>
      <c r="G33" s="13"/>
      <c r="I33" s="130" t="s">
        <v>6</v>
      </c>
      <c r="J33" s="131"/>
      <c r="K33" s="126"/>
      <c r="L33" s="126"/>
      <c r="M33" s="127"/>
      <c r="N33" s="142">
        <v>0</v>
      </c>
      <c r="O33" s="142">
        <f>ROUND(N33*1.02,0)</f>
        <v>0</v>
      </c>
      <c r="P33" s="142">
        <f>ROUND(O33*1.02,0)</f>
        <v>0</v>
      </c>
      <c r="Q33" s="142">
        <f>ROUND(P33*1.02,0)</f>
        <v>0</v>
      </c>
      <c r="R33" s="142">
        <f>ROUND(Q33*1.02,0)</f>
        <v>0</v>
      </c>
      <c r="S33" s="143">
        <f>SUM(M33:R33)</f>
        <v>0</v>
      </c>
      <c r="U33" s="14"/>
    </row>
    <row r="34" spans="1:19" ht="18">
      <c r="A34" s="54" t="s">
        <v>38</v>
      </c>
      <c r="B34" s="13"/>
      <c r="C34" s="13"/>
      <c r="D34" s="13"/>
      <c r="E34" s="13"/>
      <c r="F34" s="13"/>
      <c r="G34" s="13"/>
      <c r="I34" s="13"/>
      <c r="J34" s="13"/>
      <c r="K34" s="109"/>
      <c r="L34" s="108"/>
      <c r="M34" s="108"/>
      <c r="N34" s="115"/>
      <c r="O34" s="115"/>
      <c r="P34" s="115"/>
      <c r="Q34" s="115"/>
      <c r="R34" s="115"/>
      <c r="S34" s="115"/>
    </row>
    <row r="35" spans="1:19" ht="18">
      <c r="A35" s="41" t="s">
        <v>155</v>
      </c>
      <c r="B35" s="13"/>
      <c r="C35" s="13"/>
      <c r="D35" s="13"/>
      <c r="E35" s="13"/>
      <c r="F35" s="13"/>
      <c r="G35" s="13"/>
      <c r="I35" s="140" t="s">
        <v>39</v>
      </c>
      <c r="J35" s="141"/>
      <c r="K35" s="126"/>
      <c r="L35" s="126"/>
      <c r="M35" s="127"/>
      <c r="N35" s="142">
        <f aca="true" t="shared" si="8" ref="N35:S35">SUM(N18:N34)</f>
        <v>0</v>
      </c>
      <c r="O35" s="142">
        <f t="shared" si="8"/>
        <v>0</v>
      </c>
      <c r="P35" s="142">
        <f t="shared" si="8"/>
        <v>0</v>
      </c>
      <c r="Q35" s="142">
        <f t="shared" si="8"/>
        <v>0</v>
      </c>
      <c r="R35" s="142">
        <f t="shared" si="8"/>
        <v>0</v>
      </c>
      <c r="S35" s="143">
        <f t="shared" si="8"/>
        <v>0</v>
      </c>
    </row>
    <row r="36" spans="1:19" ht="18">
      <c r="A36" s="107" t="s">
        <v>129</v>
      </c>
      <c r="B36" s="13"/>
      <c r="C36" s="13" t="s">
        <v>0</v>
      </c>
      <c r="D36" s="13"/>
      <c r="E36" s="13"/>
      <c r="F36" s="13"/>
      <c r="G36" s="13"/>
      <c r="I36" s="13"/>
      <c r="J36" s="13"/>
      <c r="K36" s="109"/>
      <c r="L36" s="109"/>
      <c r="M36" s="109"/>
      <c r="N36" s="115"/>
      <c r="O36" s="115"/>
      <c r="P36" s="115"/>
      <c r="Q36" s="115"/>
      <c r="R36" s="115"/>
      <c r="S36" s="115"/>
    </row>
    <row r="37" spans="1:19" ht="18">
      <c r="A37" s="55" t="s">
        <v>153</v>
      </c>
      <c r="B37" s="13"/>
      <c r="C37" s="13"/>
      <c r="D37" s="13"/>
      <c r="E37" s="20"/>
      <c r="F37" s="13"/>
      <c r="G37" s="13"/>
      <c r="I37" s="57" t="s">
        <v>41</v>
      </c>
      <c r="J37" s="57"/>
      <c r="K37" s="57" t="s">
        <v>200</v>
      </c>
      <c r="L37" s="109"/>
      <c r="M37" s="109"/>
      <c r="N37" s="116"/>
      <c r="O37" s="116"/>
      <c r="P37" s="116"/>
      <c r="Q37" s="116"/>
      <c r="R37" s="116"/>
      <c r="S37" s="116"/>
    </row>
    <row r="38" spans="1:19" ht="18">
      <c r="A38" s="56" t="s">
        <v>40</v>
      </c>
      <c r="B38" s="13"/>
      <c r="C38" s="13"/>
      <c r="D38" s="13"/>
      <c r="E38" s="20"/>
      <c r="F38" s="13"/>
      <c r="G38" s="13"/>
      <c r="H38" s="13"/>
      <c r="I38" s="13"/>
      <c r="J38" s="147" t="s">
        <v>42</v>
      </c>
      <c r="K38" s="126"/>
      <c r="L38" s="126"/>
      <c r="M38" s="127"/>
      <c r="N38" s="142">
        <v>0</v>
      </c>
      <c r="O38" s="142">
        <v>0</v>
      </c>
      <c r="P38" s="142">
        <v>0</v>
      </c>
      <c r="Q38" s="142">
        <v>0</v>
      </c>
      <c r="R38" s="142">
        <v>0</v>
      </c>
      <c r="S38" s="143">
        <f>SUM(N38:R38)</f>
        <v>0</v>
      </c>
    </row>
    <row r="39" spans="1:19" ht="18">
      <c r="A39" s="41" t="s">
        <v>155</v>
      </c>
      <c r="B39" s="13"/>
      <c r="C39" s="13"/>
      <c r="D39" s="13"/>
      <c r="E39" s="20"/>
      <c r="F39" s="13"/>
      <c r="G39" s="13"/>
      <c r="H39" s="13"/>
      <c r="I39" s="13"/>
      <c r="J39" s="147" t="s">
        <v>131</v>
      </c>
      <c r="K39" s="126"/>
      <c r="L39" s="126"/>
      <c r="M39" s="127"/>
      <c r="N39" s="142">
        <v>0</v>
      </c>
      <c r="O39" s="142">
        <v>0</v>
      </c>
      <c r="P39" s="142">
        <v>0</v>
      </c>
      <c r="Q39" s="142">
        <v>0</v>
      </c>
      <c r="R39" s="142">
        <v>0</v>
      </c>
      <c r="S39" s="143">
        <f>SUM(N39:R39)</f>
        <v>0</v>
      </c>
    </row>
    <row r="40" spans="1:19" ht="18">
      <c r="A40" s="41"/>
      <c r="B40" s="13"/>
      <c r="C40" s="13"/>
      <c r="D40" s="13"/>
      <c r="E40" s="20"/>
      <c r="F40" s="13"/>
      <c r="G40" s="13"/>
      <c r="H40" s="13"/>
      <c r="I40" s="13"/>
      <c r="J40" s="147" t="s">
        <v>198</v>
      </c>
      <c r="K40" s="126"/>
      <c r="L40" s="126"/>
      <c r="M40" s="127"/>
      <c r="N40" s="142">
        <f aca="true" t="shared" si="9" ref="N40:S40">SUM(N38:N39)</f>
        <v>0</v>
      </c>
      <c r="O40" s="142">
        <f t="shared" si="9"/>
        <v>0</v>
      </c>
      <c r="P40" s="142">
        <f t="shared" si="9"/>
        <v>0</v>
      </c>
      <c r="Q40" s="142">
        <f t="shared" si="9"/>
        <v>0</v>
      </c>
      <c r="R40" s="142">
        <f t="shared" si="9"/>
        <v>0</v>
      </c>
      <c r="S40" s="143">
        <f t="shared" si="9"/>
        <v>0</v>
      </c>
    </row>
    <row r="41" spans="1:19" ht="18">
      <c r="A41" s="58" t="s">
        <v>157</v>
      </c>
      <c r="B41" s="13"/>
      <c r="C41" s="13"/>
      <c r="D41" s="13"/>
      <c r="E41" s="20"/>
      <c r="F41" s="13"/>
      <c r="G41" s="59"/>
      <c r="H41" s="13"/>
      <c r="I41" s="13"/>
      <c r="J41" s="148" t="s">
        <v>43</v>
      </c>
      <c r="K41" s="126"/>
      <c r="L41" s="126"/>
      <c r="M41" s="127"/>
      <c r="N41" s="142">
        <v>0</v>
      </c>
      <c r="O41" s="142">
        <v>0</v>
      </c>
      <c r="P41" s="142">
        <v>0</v>
      </c>
      <c r="Q41" s="142">
        <v>0</v>
      </c>
      <c r="R41" s="142">
        <v>0</v>
      </c>
      <c r="S41" s="143">
        <f>SUM(N41:R41)</f>
        <v>0</v>
      </c>
    </row>
    <row r="42" spans="1:19" ht="18">
      <c r="A42" s="41" t="s">
        <v>154</v>
      </c>
      <c r="B42" s="13"/>
      <c r="C42" s="13"/>
      <c r="D42" s="13"/>
      <c r="E42" s="20"/>
      <c r="F42" s="13"/>
      <c r="G42" s="59"/>
      <c r="H42" s="13"/>
      <c r="I42" s="13"/>
      <c r="J42" s="148" t="s">
        <v>132</v>
      </c>
      <c r="K42" s="126"/>
      <c r="L42" s="126"/>
      <c r="M42" s="127"/>
      <c r="N42" s="142">
        <v>0</v>
      </c>
      <c r="O42" s="142">
        <v>0</v>
      </c>
      <c r="P42" s="142">
        <v>0</v>
      </c>
      <c r="Q42" s="142">
        <v>0</v>
      </c>
      <c r="R42" s="142">
        <v>0</v>
      </c>
      <c r="S42" s="143">
        <f>SUM(N42:R42)</f>
        <v>0</v>
      </c>
    </row>
    <row r="43" spans="1:19" ht="18">
      <c r="A43" s="41"/>
      <c r="B43" s="13"/>
      <c r="C43" s="13"/>
      <c r="D43" s="13"/>
      <c r="E43" s="20"/>
      <c r="F43" s="13"/>
      <c r="G43" s="59"/>
      <c r="H43" s="13"/>
      <c r="I43" s="13"/>
      <c r="J43" s="148" t="s">
        <v>198</v>
      </c>
      <c r="K43" s="126"/>
      <c r="L43" s="126"/>
      <c r="M43" s="127"/>
      <c r="N43" s="142">
        <f aca="true" t="shared" si="10" ref="N43:S43">SUM(N41:N42)</f>
        <v>0</v>
      </c>
      <c r="O43" s="142">
        <f t="shared" si="10"/>
        <v>0</v>
      </c>
      <c r="P43" s="142">
        <f t="shared" si="10"/>
        <v>0</v>
      </c>
      <c r="Q43" s="142">
        <f t="shared" si="10"/>
        <v>0</v>
      </c>
      <c r="R43" s="142">
        <f t="shared" si="10"/>
        <v>0</v>
      </c>
      <c r="S43" s="143">
        <f t="shared" si="10"/>
        <v>0</v>
      </c>
    </row>
    <row r="44" spans="1:19" ht="18">
      <c r="A44" s="55"/>
      <c r="B44" s="13"/>
      <c r="C44" s="13"/>
      <c r="D44" s="13"/>
      <c r="E44" s="20"/>
      <c r="F44" s="59"/>
      <c r="G44" s="59"/>
      <c r="H44" s="13"/>
      <c r="I44" s="13"/>
      <c r="J44" s="149" t="s">
        <v>44</v>
      </c>
      <c r="K44" s="126"/>
      <c r="L44" s="126"/>
      <c r="M44" s="127"/>
      <c r="N44" s="142">
        <v>0</v>
      </c>
      <c r="O44" s="142">
        <v>0</v>
      </c>
      <c r="P44" s="142">
        <v>0</v>
      </c>
      <c r="Q44" s="142">
        <v>0</v>
      </c>
      <c r="R44" s="142">
        <v>0</v>
      </c>
      <c r="S44" s="143">
        <f>SUM(N44:R44)</f>
        <v>0</v>
      </c>
    </row>
    <row r="45" spans="1:19" ht="18">
      <c r="A45" s="60"/>
      <c r="B45" s="13"/>
      <c r="C45" s="13"/>
      <c r="D45" s="13"/>
      <c r="E45" s="20"/>
      <c r="F45" s="13"/>
      <c r="G45" s="13"/>
      <c r="H45" s="13"/>
      <c r="I45" s="13"/>
      <c r="J45" s="149" t="s">
        <v>133</v>
      </c>
      <c r="K45" s="126"/>
      <c r="L45" s="126"/>
      <c r="M45" s="127"/>
      <c r="N45" s="142">
        <v>0</v>
      </c>
      <c r="O45" s="142">
        <v>0</v>
      </c>
      <c r="P45" s="142">
        <v>0</v>
      </c>
      <c r="Q45" s="142">
        <v>0</v>
      </c>
      <c r="R45" s="142">
        <v>0</v>
      </c>
      <c r="S45" s="143">
        <f>SUM(N45:R45)</f>
        <v>0</v>
      </c>
    </row>
    <row r="46" spans="1:19" ht="18">
      <c r="A46" s="60"/>
      <c r="B46" s="13"/>
      <c r="C46" s="13"/>
      <c r="D46" s="13"/>
      <c r="E46" s="20"/>
      <c r="F46" s="13"/>
      <c r="G46" s="13"/>
      <c r="H46" s="13"/>
      <c r="I46" s="13"/>
      <c r="J46" s="150" t="s">
        <v>198</v>
      </c>
      <c r="K46" s="151"/>
      <c r="L46" s="151"/>
      <c r="M46" s="152"/>
      <c r="N46" s="142">
        <f aca="true" t="shared" si="11" ref="N46:S46">SUM(N44:N45)</f>
        <v>0</v>
      </c>
      <c r="O46" s="142">
        <f t="shared" si="11"/>
        <v>0</v>
      </c>
      <c r="P46" s="142">
        <f t="shared" si="11"/>
        <v>0</v>
      </c>
      <c r="Q46" s="142">
        <f t="shared" si="11"/>
        <v>0</v>
      </c>
      <c r="R46" s="142">
        <f t="shared" si="11"/>
        <v>0</v>
      </c>
      <c r="S46" s="143">
        <f t="shared" si="11"/>
        <v>0</v>
      </c>
    </row>
    <row r="47" spans="1:19" ht="18">
      <c r="A47" s="60"/>
      <c r="B47" s="13"/>
      <c r="C47" s="13"/>
      <c r="D47" s="13"/>
      <c r="E47" s="13"/>
      <c r="F47" s="13"/>
      <c r="G47" s="13"/>
      <c r="I47" s="153" t="s">
        <v>45</v>
      </c>
      <c r="J47" s="154"/>
      <c r="K47" s="154"/>
      <c r="L47" s="154"/>
      <c r="M47" s="155"/>
      <c r="N47" s="142">
        <f aca="true" t="shared" si="12" ref="N47:S47">SUM(N40+N43+N46)</f>
        <v>0</v>
      </c>
      <c r="O47" s="142">
        <f t="shared" si="12"/>
        <v>0</v>
      </c>
      <c r="P47" s="142">
        <f t="shared" si="12"/>
        <v>0</v>
      </c>
      <c r="Q47" s="142">
        <f t="shared" si="12"/>
        <v>0</v>
      </c>
      <c r="R47" s="142">
        <f t="shared" si="12"/>
        <v>0</v>
      </c>
      <c r="S47" s="143">
        <f t="shared" si="12"/>
        <v>0</v>
      </c>
    </row>
    <row r="48" spans="1:19" s="24" customFormat="1" ht="18">
      <c r="A48" s="60"/>
      <c r="B48" s="61"/>
      <c r="C48" s="61"/>
      <c r="D48" s="61"/>
      <c r="E48" s="61"/>
      <c r="F48" s="61"/>
      <c r="G48" s="61"/>
      <c r="I48" s="13"/>
      <c r="J48" s="61"/>
      <c r="K48" s="61"/>
      <c r="L48" s="61"/>
      <c r="M48" s="61"/>
      <c r="N48" s="118"/>
      <c r="O48" s="118"/>
      <c r="P48" s="118"/>
      <c r="Q48" s="118"/>
      <c r="R48" s="118"/>
      <c r="S48" s="118"/>
    </row>
    <row r="49" spans="1:19" s="25" customFormat="1" ht="18">
      <c r="A49" s="62"/>
      <c r="B49" s="63"/>
      <c r="C49" s="63"/>
      <c r="D49" s="63"/>
      <c r="E49" s="63"/>
      <c r="F49" s="63"/>
      <c r="G49" s="63"/>
      <c r="I49" s="156" t="s">
        <v>138</v>
      </c>
      <c r="J49" s="157"/>
      <c r="K49" s="157"/>
      <c r="L49" s="157"/>
      <c r="M49" s="158"/>
      <c r="N49" s="142">
        <f>SUM(N35+N47)-SUM(N39+N42+N45)</f>
        <v>0</v>
      </c>
      <c r="O49" s="142">
        <f>SUM(O35+O47)-SUM(O39+O42+O45)</f>
        <v>0</v>
      </c>
      <c r="P49" s="142">
        <f>SUM(P35+P47)-SUM(P39+P42+P45)</f>
        <v>0</v>
      </c>
      <c r="Q49" s="142">
        <f>SUM(Q35+Q47)-SUM(Q39+Q42+Q45)</f>
        <v>0</v>
      </c>
      <c r="R49" s="142">
        <f>SUM(R35+R47)-SUM(R39+R42+R45)</f>
        <v>0</v>
      </c>
      <c r="S49" s="143">
        <f>SUM(N49:R49)</f>
        <v>0</v>
      </c>
    </row>
    <row r="50" spans="1:21" ht="18">
      <c r="A50" s="55"/>
      <c r="B50" s="13"/>
      <c r="C50" s="13"/>
      <c r="D50" s="13"/>
      <c r="E50" s="13"/>
      <c r="F50" s="13"/>
      <c r="G50" s="13"/>
      <c r="I50" s="13"/>
      <c r="J50" s="13"/>
      <c r="K50" s="13"/>
      <c r="L50" s="13" t="s">
        <v>0</v>
      </c>
      <c r="M50" s="13"/>
      <c r="N50" s="113"/>
      <c r="O50" s="113"/>
      <c r="P50" s="113"/>
      <c r="Q50" s="113"/>
      <c r="R50" s="113"/>
      <c r="S50" s="113"/>
      <c r="U50" s="18"/>
    </row>
    <row r="51" spans="1:19" ht="18">
      <c r="A51" s="46"/>
      <c r="B51" s="13"/>
      <c r="C51" s="13"/>
      <c r="D51" s="13"/>
      <c r="E51" s="13"/>
      <c r="F51" s="13"/>
      <c r="G51" s="13"/>
      <c r="I51" s="159" t="s">
        <v>134</v>
      </c>
      <c r="J51" s="160"/>
      <c r="K51" s="160"/>
      <c r="L51" s="160"/>
      <c r="M51" s="161"/>
      <c r="N51" s="142">
        <f>N39+N42+N45</f>
        <v>0</v>
      </c>
      <c r="O51" s="142">
        <f>O39+O42+O45</f>
        <v>0</v>
      </c>
      <c r="P51" s="142">
        <f>P39+P42+P45</f>
        <v>0</v>
      </c>
      <c r="Q51" s="142">
        <f>Q39+Q42+Q45</f>
        <v>0</v>
      </c>
      <c r="R51" s="142">
        <f>R39+R42+R45</f>
        <v>0</v>
      </c>
      <c r="S51" s="143">
        <f>SUM(M51:R51)</f>
        <v>0</v>
      </c>
    </row>
    <row r="52" spans="1:21" ht="16.5">
      <c r="A52" s="60"/>
      <c r="B52" s="13"/>
      <c r="C52" s="13"/>
      <c r="D52" s="13"/>
      <c r="E52" s="13"/>
      <c r="F52" s="13"/>
      <c r="G52" s="13"/>
      <c r="I52" s="19"/>
      <c r="J52" s="19"/>
      <c r="K52" s="19"/>
      <c r="L52" s="19"/>
      <c r="M52" s="19"/>
      <c r="N52" s="110"/>
      <c r="O52" s="110"/>
      <c r="P52" s="110"/>
      <c r="Q52" s="110"/>
      <c r="R52" s="110"/>
      <c r="S52" s="110"/>
      <c r="U52" s="18"/>
    </row>
    <row r="53" spans="1:19" ht="16.5">
      <c r="A53" s="55"/>
      <c r="B53" s="13"/>
      <c r="C53" s="13"/>
      <c r="D53" s="13"/>
      <c r="E53" s="13"/>
      <c r="F53" s="13"/>
      <c r="G53" s="13"/>
      <c r="I53" s="64"/>
      <c r="J53" s="64"/>
      <c r="K53" s="64"/>
      <c r="L53" s="64"/>
      <c r="M53" s="64"/>
      <c r="N53" s="111"/>
      <c r="O53" s="111"/>
      <c r="P53" s="111"/>
      <c r="Q53" s="111"/>
      <c r="R53" s="111"/>
      <c r="S53" s="111"/>
    </row>
    <row r="54" spans="1:20" ht="18">
      <c r="A54" s="46" t="s">
        <v>47</v>
      </c>
      <c r="B54" s="13"/>
      <c r="C54" s="13"/>
      <c r="D54" s="13"/>
      <c r="E54" s="13"/>
      <c r="F54" s="13"/>
      <c r="G54" s="13"/>
      <c r="I54" s="159" t="s">
        <v>139</v>
      </c>
      <c r="J54" s="160"/>
      <c r="K54" s="160"/>
      <c r="L54" s="160"/>
      <c r="M54" s="161"/>
      <c r="N54" s="146">
        <f>(N60)-Year1Sub-N31-N22-N27+(IF((N38+N39)&lt;25000,(N38+N39),25000)+IF((N41+N42)&lt;25000,(N41+N42),25000)+IF((N45+N44)&lt;25000,(N45+N44),25000))</f>
        <v>0</v>
      </c>
      <c r="O54" s="146">
        <f>(O60)-Year2Sub-O31-O22-O27+IF(N38+O38+N39+O39&lt;25000,O38+O39,IF(25000-(N38+N39)&lt;0,0,25000-(N38+N39)))+IF(N41+O41+N42+O42&lt;25000,O41+O42,IF(25000-(N41+N42)&lt;0,0,25000-(N41+N42)))+IF(N44+O44+N45+O45&lt;25000,O44+O45,IF(25000-(N44+N45)&lt;0,0,25000-(N44+N45)))</f>
        <v>0</v>
      </c>
      <c r="P54" s="146">
        <f>(P60)-Year3Sub-P31-P22-P27+IF(N38+O38+N39+O39+P38+P39&lt;25000,P38+P39,IF(25000-(N38+N39+O38+O39)&lt;0,0,25000-(N38+N39+O38+O39)))+IF(N41+O42+N42+O42+P41+P42&lt;25000,P41+P42,IF(25000-(N41+N42+O41+O42)&lt;0,0,25000-(N41+N42+O41+O42)))+IF(N44+O45+N45+O45+P44+P45&lt;25000,P44+P45,IF(25000-(N44+N45+O44+O45)&lt;0,0,25000-(N44+N45+O44+O45)))</f>
        <v>0</v>
      </c>
      <c r="Q54" s="146">
        <f>(Q60)-Year4Sub-Q31-Q22-Q27+IF(N38+O38+N39+O39+P38+P39+Q38+Q39&lt;25000,Q38+Q39,IF(25000-(N38+N39+O38+O39+P38+P39)&lt;0,0,25000-(N38+N39+O38+O39+P38+P39)))+IF(N41+O42+N42+O42+P41+P42+Q41+Q42&lt;25000,Q41+Q42,IF(25000-(N41+N42+O41+O42+P41+P42)&lt;0,0,25000-(N41+N42+O41+O42+P41+P42)))+IF(N44+O45+N45+O45+P44+P45+Q44+Q45&lt;25000,Q44+Q45,IF(25000-(N44+N45+O44+O45+P44+P45)&lt;0,0,25000-(N44+N45+O44+O45+P44+P45)))</f>
        <v>0</v>
      </c>
      <c r="R54" s="146">
        <f>(R60)-Year5Sub-R31-R22-R27+IF(N38+N39+O38+O39+P38+P39+Q38+Q39+R38+R39&lt;25000,R38+R39,IF(25000-(N38+N39+O38+O39+P38+P39+Q38+Q39)&lt;0,0,25000-(N38+N39+O38+O39+P38+P39+Q38+Q39)))+IF(N41+N42+O41+O42+P41+P42+Q41+Q42+R41+R42&lt;25000,R41+R42,IF(25000-(N41+N42+O41+O42+P41+P42+Q41+Q42)&lt;0,0,25000-(N41+N42+O41+O42+P41+P42+Q41+Q42)))+IF(N44+N45+O44+O45+P44+P45+Q44+Q45+R44+R45&lt;25000,R44+R45,IF(25000-(N44+N45+O44+O45+P44+P45+Q44+Q45)&lt;0,0,25000-(N44+N45+O44+O45+P44+P45+Q44+Q45)))</f>
        <v>0</v>
      </c>
      <c r="S54" s="146">
        <f>SUM(M54:R54)</f>
        <v>0</v>
      </c>
      <c r="T54" s="13"/>
    </row>
    <row r="55" spans="1:20" ht="19.5" customHeight="1">
      <c r="A55" s="55" t="s">
        <v>48</v>
      </c>
      <c r="B55" s="13"/>
      <c r="C55" s="13"/>
      <c r="D55" s="13"/>
      <c r="E55" s="13"/>
      <c r="F55" s="13"/>
      <c r="G55" s="13"/>
      <c r="I55" s="207" t="s">
        <v>49</v>
      </c>
      <c r="J55" s="162"/>
      <c r="K55" s="160"/>
      <c r="L55" s="160"/>
      <c r="M55" s="161"/>
      <c r="N55" s="144">
        <f>SUM(RATES!E46)</f>
        <v>0.62</v>
      </c>
      <c r="O55" s="144">
        <f>SUM(RATES!G46)</f>
        <v>0.62</v>
      </c>
      <c r="P55" s="144">
        <f>SUM(RATES!I46)</f>
        <v>0.62</v>
      </c>
      <c r="Q55" s="144">
        <f>SUM(RATES!K46)</f>
        <v>0.62</v>
      </c>
      <c r="R55" s="144">
        <f>SUM(RATES!M46)</f>
        <v>0.62</v>
      </c>
      <c r="S55" s="145"/>
      <c r="T55" s="13"/>
    </row>
    <row r="56" spans="1:20" ht="18">
      <c r="A56" s="55" t="s">
        <v>50</v>
      </c>
      <c r="B56" s="13"/>
      <c r="C56" s="13"/>
      <c r="D56" s="13"/>
      <c r="E56" s="13"/>
      <c r="F56" s="13"/>
      <c r="G56" s="13"/>
      <c r="I56" s="159" t="s">
        <v>135</v>
      </c>
      <c r="J56" s="160"/>
      <c r="K56" s="160"/>
      <c r="L56" s="160"/>
      <c r="M56" s="161"/>
      <c r="N56" s="146">
        <f>ROUND(N54*N55,0)</f>
        <v>0</v>
      </c>
      <c r="O56" s="146">
        <f>ROUND(O54*O55,0)</f>
        <v>0</v>
      </c>
      <c r="P56" s="146">
        <f>ROUND(P54*P55,0)</f>
        <v>0</v>
      </c>
      <c r="Q56" s="146">
        <f>ROUND(Q54*Q55,0)</f>
        <v>0</v>
      </c>
      <c r="R56" s="146">
        <f>ROUND(R54*R55,0)</f>
        <v>0</v>
      </c>
      <c r="S56" s="146">
        <f>SUM(M56:R56)</f>
        <v>0</v>
      </c>
      <c r="T56" s="13"/>
    </row>
    <row r="57" spans="1:20" ht="16.5">
      <c r="A57" s="55" t="s">
        <v>51</v>
      </c>
      <c r="B57" s="13"/>
      <c r="C57" s="13"/>
      <c r="D57" s="13"/>
      <c r="E57" s="13"/>
      <c r="F57" s="13"/>
      <c r="G57" s="13"/>
      <c r="I57" s="64"/>
      <c r="J57" s="64"/>
      <c r="K57" s="64"/>
      <c r="L57" s="64"/>
      <c r="M57" s="64"/>
      <c r="N57" s="112"/>
      <c r="O57" s="112"/>
      <c r="P57" s="112"/>
      <c r="Q57" s="112"/>
      <c r="R57" s="112"/>
      <c r="S57" s="112"/>
      <c r="T57" s="20"/>
    </row>
    <row r="58" spans="1:21" ht="18">
      <c r="A58" s="55" t="s">
        <v>52</v>
      </c>
      <c r="B58" s="13"/>
      <c r="C58" s="13" t="s">
        <v>0</v>
      </c>
      <c r="D58" s="13"/>
      <c r="E58" s="13"/>
      <c r="F58" s="13"/>
      <c r="G58" s="13"/>
      <c r="I58" s="163" t="s">
        <v>140</v>
      </c>
      <c r="J58" s="164"/>
      <c r="K58" s="164"/>
      <c r="L58" s="164"/>
      <c r="M58" s="164"/>
      <c r="N58" s="165">
        <v>0</v>
      </c>
      <c r="O58" s="165">
        <v>0</v>
      </c>
      <c r="P58" s="165">
        <v>0</v>
      </c>
      <c r="Q58" s="165">
        <v>0</v>
      </c>
      <c r="R58" s="165">
        <v>0</v>
      </c>
      <c r="S58" s="165">
        <f>SUM(M58:R58)</f>
        <v>0</v>
      </c>
      <c r="T58" s="20"/>
      <c r="U58" s="14"/>
    </row>
    <row r="59" spans="1:21" ht="18">
      <c r="A59" s="55"/>
      <c r="B59" s="13"/>
      <c r="C59" s="13"/>
      <c r="D59" s="13"/>
      <c r="E59" s="13"/>
      <c r="F59" s="13"/>
      <c r="G59" s="13"/>
      <c r="I59" s="159"/>
      <c r="J59" s="122"/>
      <c r="K59" s="122"/>
      <c r="L59" s="122"/>
      <c r="M59" s="122"/>
      <c r="N59" s="168"/>
      <c r="O59" s="169"/>
      <c r="P59" s="169"/>
      <c r="Q59" s="169"/>
      <c r="R59" s="169"/>
      <c r="S59" s="170"/>
      <c r="T59" s="20"/>
      <c r="U59" s="14"/>
    </row>
    <row r="60" spans="1:19" s="25" customFormat="1" ht="18">
      <c r="A60" s="107" t="s">
        <v>49</v>
      </c>
      <c r="B60" s="63"/>
      <c r="C60" s="63"/>
      <c r="D60" s="63"/>
      <c r="E60" s="63"/>
      <c r="F60" s="63"/>
      <c r="G60" s="63"/>
      <c r="I60" s="156" t="s">
        <v>142</v>
      </c>
      <c r="J60" s="157"/>
      <c r="K60" s="157"/>
      <c r="L60" s="157"/>
      <c r="M60" s="157"/>
      <c r="N60" s="166">
        <f>N58+N51</f>
        <v>0</v>
      </c>
      <c r="O60" s="166">
        <f>O58+O51</f>
        <v>0</v>
      </c>
      <c r="P60" s="166">
        <f>P58+P51</f>
        <v>0</v>
      </c>
      <c r="Q60" s="166">
        <f>Q58+Q51</f>
        <v>0</v>
      </c>
      <c r="R60" s="166">
        <f>R58+R51</f>
        <v>0</v>
      </c>
      <c r="S60" s="166">
        <f>SUM(N60:R60)</f>
        <v>0</v>
      </c>
    </row>
    <row r="61" spans="1:20" ht="18">
      <c r="A61" s="65" t="s">
        <v>130</v>
      </c>
      <c r="B61" s="13"/>
      <c r="C61" s="13"/>
      <c r="D61" s="13"/>
      <c r="E61" s="13"/>
      <c r="F61" s="13"/>
      <c r="G61" s="13"/>
      <c r="I61" s="159" t="s">
        <v>137</v>
      </c>
      <c r="J61" s="122"/>
      <c r="K61" s="122"/>
      <c r="L61" s="122"/>
      <c r="M61" s="122"/>
      <c r="N61" s="167">
        <f aca="true" t="shared" si="13" ref="N61:S61">ROUND(+N58-N49,0)</f>
        <v>0</v>
      </c>
      <c r="O61" s="167">
        <f t="shared" si="13"/>
        <v>0</v>
      </c>
      <c r="P61" s="167">
        <f t="shared" si="13"/>
        <v>0</v>
      </c>
      <c r="Q61" s="167">
        <f t="shared" si="13"/>
        <v>0</v>
      </c>
      <c r="R61" s="167">
        <f t="shared" si="13"/>
        <v>0</v>
      </c>
      <c r="S61" s="167">
        <f t="shared" si="13"/>
        <v>0</v>
      </c>
      <c r="T61" s="38"/>
    </row>
    <row r="62" spans="1:20" ht="21" thickBot="1">
      <c r="A62" s="66"/>
      <c r="B62" s="13"/>
      <c r="C62" s="13"/>
      <c r="D62" s="13"/>
      <c r="E62" s="13"/>
      <c r="F62" s="13"/>
      <c r="G62" s="13"/>
      <c r="I62" s="64"/>
      <c r="J62" s="64"/>
      <c r="K62" s="64"/>
      <c r="L62" s="64"/>
      <c r="M62" s="64"/>
      <c r="N62" s="114"/>
      <c r="O62" s="114"/>
      <c r="P62" s="114"/>
      <c r="Q62" s="114"/>
      <c r="R62" s="114"/>
      <c r="S62" s="114"/>
      <c r="T62" s="39"/>
    </row>
    <row r="63" spans="1:20" ht="21" thickBot="1">
      <c r="A63" s="67"/>
      <c r="B63" s="68"/>
      <c r="C63" s="68"/>
      <c r="D63" s="68"/>
      <c r="E63" s="68"/>
      <c r="F63" s="68"/>
      <c r="G63" s="68"/>
      <c r="H63" s="68"/>
      <c r="I63" s="171" t="s">
        <v>53</v>
      </c>
      <c r="J63" s="172"/>
      <c r="K63" s="172"/>
      <c r="L63" s="172"/>
      <c r="M63" s="173"/>
      <c r="N63" s="174">
        <f>N58+N56+N51</f>
        <v>0</v>
      </c>
      <c r="O63" s="174">
        <f>O58+O56+O51</f>
        <v>0</v>
      </c>
      <c r="P63" s="174">
        <f>P58+P56+P51</f>
        <v>0</v>
      </c>
      <c r="Q63" s="174">
        <f>Q58+Q56+Q51</f>
        <v>0</v>
      </c>
      <c r="R63" s="174">
        <f>R58+R56+R51</f>
        <v>0</v>
      </c>
      <c r="S63" s="174">
        <f>SUM(N63:R63)</f>
        <v>0</v>
      </c>
      <c r="T63" s="40"/>
    </row>
    <row r="64" spans="1:18" ht="21.75" customHeight="1">
      <c r="A64" s="107" t="s">
        <v>193</v>
      </c>
      <c r="N64" s="27"/>
      <c r="O64" s="27"/>
      <c r="P64" s="27"/>
      <c r="Q64" s="27"/>
      <c r="R64" s="27"/>
    </row>
    <row r="65" spans="1:17" ht="17.25">
      <c r="A65" s="26"/>
      <c r="F65" s="18"/>
      <c r="G65" s="18"/>
      <c r="O65" s="29"/>
      <c r="P65" s="18"/>
      <c r="Q65" s="18"/>
    </row>
    <row r="66" spans="1:17" ht="15.75" customHeight="1">
      <c r="A66" s="30" t="s">
        <v>46</v>
      </c>
      <c r="O66" s="27"/>
      <c r="Q66" s="27"/>
    </row>
    <row r="67" spans="1:18" ht="15.75" customHeight="1">
      <c r="A67" s="26"/>
      <c r="N67" s="31"/>
      <c r="O67" s="32"/>
      <c r="P67" s="27"/>
      <c r="Q67" s="27"/>
      <c r="R67" s="27"/>
    </row>
    <row r="68" spans="1:18" ht="15.75" customHeight="1" hidden="1">
      <c r="A68" s="4" t="s">
        <v>169</v>
      </c>
      <c r="N68" s="27"/>
      <c r="O68" s="33"/>
      <c r="P68" s="27"/>
      <c r="Q68" s="27"/>
      <c r="R68" s="27"/>
    </row>
    <row r="69" spans="1:18" ht="18" hidden="1">
      <c r="A69" s="4" t="s">
        <v>170</v>
      </c>
      <c r="N69" s="31"/>
      <c r="O69" s="27"/>
      <c r="P69" s="34"/>
      <c r="Q69" s="27"/>
      <c r="R69" s="27"/>
    </row>
    <row r="70" spans="1:16" ht="15.75" hidden="1">
      <c r="A70" s="4" t="s">
        <v>171</v>
      </c>
      <c r="P70" s="35"/>
    </row>
    <row r="71" spans="1:18" ht="15.75" hidden="1">
      <c r="A71" s="4" t="s">
        <v>189</v>
      </c>
      <c r="O71" s="18"/>
      <c r="P71" s="18"/>
      <c r="Q71" s="18"/>
      <c r="R71" s="18"/>
    </row>
    <row r="72" ht="15.75" hidden="1">
      <c r="A72" s="4" t="s">
        <v>192</v>
      </c>
    </row>
    <row r="73" ht="15.75" hidden="1">
      <c r="A73" s="4" t="s">
        <v>203</v>
      </c>
    </row>
    <row r="74" spans="1:14" ht="15.75" hidden="1">
      <c r="A74" s="4" t="s">
        <v>202</v>
      </c>
      <c r="N74" s="27"/>
    </row>
    <row r="75" spans="4:18" ht="17.25">
      <c r="D75" s="204" t="s">
        <v>208</v>
      </c>
      <c r="E75" s="205"/>
      <c r="F75" s="205"/>
      <c r="G75" s="205"/>
      <c r="I75" s="206">
        <f>+RATES!E31</f>
        <v>0.62</v>
      </c>
      <c r="J75" s="28">
        <f>+N56/12*RATES!$C$43</f>
        <v>0</v>
      </c>
      <c r="K75" s="206">
        <f>+RATES!G31</f>
        <v>0.62</v>
      </c>
      <c r="L75" s="28">
        <f>+O56/12*RATES!$C$43</f>
        <v>0</v>
      </c>
      <c r="M75" s="206">
        <f>+RATES!I31</f>
        <v>0.62</v>
      </c>
      <c r="N75" s="28">
        <f>+P56/12*RATES!$C$43</f>
        <v>0</v>
      </c>
      <c r="O75" s="206">
        <f>+RATES!K31</f>
        <v>0.62</v>
      </c>
      <c r="P75" s="28">
        <f>+Q56/12*RATES!$C$43</f>
        <v>0</v>
      </c>
      <c r="Q75" s="206">
        <f>+RATES!M31</f>
        <v>0.62</v>
      </c>
      <c r="R75" s="28">
        <f>+R56/12*RATES!$C$43</f>
        <v>0</v>
      </c>
    </row>
    <row r="76" spans="4:18" ht="15" customHeight="1">
      <c r="D76" s="294" t="s">
        <v>209</v>
      </c>
      <c r="E76" s="294"/>
      <c r="F76" s="294"/>
      <c r="G76" s="294"/>
      <c r="H76" s="294"/>
      <c r="I76" s="206">
        <f>+RATES!G31</f>
        <v>0.62</v>
      </c>
      <c r="J76" s="27">
        <f>+N56/12*RATES!$D$43</f>
        <v>0</v>
      </c>
      <c r="K76" s="206">
        <f>+RATES!I31</f>
        <v>0.62</v>
      </c>
      <c r="L76" s="27">
        <f>+O56/12*RATES!$D$43</f>
        <v>0</v>
      </c>
      <c r="M76" s="206">
        <f>+RATES!K31</f>
        <v>0.62</v>
      </c>
      <c r="N76" s="27">
        <f>+P56/12*RATES!$D$43</f>
        <v>0</v>
      </c>
      <c r="O76" s="206">
        <f>+RATES!M31</f>
        <v>0.62</v>
      </c>
      <c r="P76" s="27">
        <f>+Q56/12*RATES!$D$43</f>
        <v>0</v>
      </c>
      <c r="Q76" s="206">
        <f>+RATES!O31</f>
        <v>0.62</v>
      </c>
      <c r="R76" s="27">
        <f>+R56/12*RATES!$D$43</f>
        <v>0</v>
      </c>
    </row>
    <row r="77" spans="4:8" ht="15" customHeight="1">
      <c r="D77" s="294"/>
      <c r="E77" s="294"/>
      <c r="F77" s="294"/>
      <c r="G77" s="294"/>
      <c r="H77" s="294"/>
    </row>
    <row r="78" spans="4:8" ht="15">
      <c r="D78" s="294"/>
      <c r="E78" s="294"/>
      <c r="F78" s="294"/>
      <c r="G78" s="294"/>
      <c r="H78" s="294"/>
    </row>
    <row r="80" spans="18:19" ht="18.75">
      <c r="R80" s="293">
        <f>RATES!N60</f>
        <v>0</v>
      </c>
      <c r="S80" s="293"/>
    </row>
    <row r="98" ht="15">
      <c r="A98" s="36"/>
    </row>
    <row r="99" ht="15">
      <c r="A99" s="36"/>
    </row>
    <row r="100" ht="15">
      <c r="A100" s="37"/>
    </row>
    <row r="108" ht="15">
      <c r="A108" s="36"/>
    </row>
    <row r="109" ht="15">
      <c r="A109" s="36"/>
    </row>
    <row r="110" ht="15">
      <c r="A110" s="37"/>
    </row>
    <row r="114" ht="15">
      <c r="A114" s="36"/>
    </row>
    <row r="115" ht="15">
      <c r="A115" s="37"/>
    </row>
  </sheetData>
  <sheetProtection/>
  <mergeCells count="4">
    <mergeCell ref="B4:B6"/>
    <mergeCell ref="E2:F2"/>
    <mergeCell ref="R80:S80"/>
    <mergeCell ref="D76:H78"/>
  </mergeCells>
  <conditionalFormatting sqref="S61">
    <cfRule type="cellIs" priority="1" dxfId="8" operator="lessThan" stopIfTrue="1">
      <formula>0</formula>
    </cfRule>
    <cfRule type="cellIs" priority="2" dxfId="4" operator="greaterThanOrEqual" stopIfTrue="1">
      <formula>0</formula>
    </cfRule>
  </conditionalFormatting>
  <conditionalFormatting sqref="N61:R61">
    <cfRule type="cellIs" priority="3" dxfId="9" operator="lessThan" stopIfTrue="1">
      <formula>0</formula>
    </cfRule>
    <cfRule type="cellIs" priority="4" dxfId="4" operator="greaterThanOrEqual" stopIfTrue="1">
      <formula>0</formula>
    </cfRule>
  </conditionalFormatting>
  <dataValidations count="5">
    <dataValidation type="list" allowBlank="1" showInputMessage="1" showErrorMessage="1" sqref="B7:B16">
      <formula1>Jobs</formula1>
    </dataValidation>
    <dataValidation type="list" allowBlank="1" showInputMessage="1" showErrorMessage="1" sqref="C3">
      <formula1>$A$68:$A$74</formula1>
    </dataValidation>
    <dataValidation type="date" showErrorMessage="1" errorTitle="Date Required" error="Please enter date in format of MM/DD/YYYY" sqref="C2">
      <formula1>37072</formula1>
      <formula2>39262</formula2>
    </dataValidation>
    <dataValidation type="date" allowBlank="1" showInputMessage="1" showErrorMessage="1" errorTitle="Date required" error="Please enter date in format of MM/DD/YYYY" sqref="E2">
      <formula1>37072</formula1>
      <formula2>41089</formula2>
    </dataValidation>
    <dataValidation type="list" allowBlank="1" showInputMessage="1" showErrorMessage="1" sqref="E7:E16">
      <formula1>APPTS</formula1>
    </dataValidation>
  </dataValidations>
  <hyperlinks>
    <hyperlink ref="C1" r:id="rId1" display="NIH"/>
    <hyperlink ref="A64" r:id="rId2" display="SRS Paper PRF"/>
    <hyperlink ref="A25" r:id="rId3" display="Salary Cap"/>
    <hyperlink ref="A26" r:id="rId4" display="Stipend Levels"/>
    <hyperlink ref="A36" r:id="rId5" display="Tuition"/>
    <hyperlink ref="I55" r:id="rId6" display="F&amp;A RATE"/>
    <hyperlink ref="A61" r:id="rId7" display="Off Campus Projects"/>
    <hyperlink ref="A60" r:id="rId8" display="F&amp;A RATE"/>
  </hyperlinks>
  <printOptions horizontalCentered="1"/>
  <pageMargins left="0.25" right="0.25" top="0.25" bottom="0.5" header="0.3" footer="0.3"/>
  <pageSetup horizontalDpi="300" verticalDpi="300" orientation="landscape" scale="45" r:id="rId11"/>
  <legacyDrawing r:id="rId10"/>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IV63"/>
  <sheetViews>
    <sheetView showGridLines="0" tabSelected="1" zoomScale="75" zoomScaleNormal="75" zoomScalePageLayoutView="0" workbookViewId="0" topLeftCell="A1">
      <selection activeCell="AM12" sqref="AM12"/>
    </sheetView>
  </sheetViews>
  <sheetFormatPr defaultColWidth="9.625" defaultRowHeight="12.75"/>
  <cols>
    <col min="1" max="1" width="2.625" style="210" customWidth="1"/>
    <col min="2" max="2" width="35.375" style="210" customWidth="1"/>
    <col min="3" max="3" width="4.50390625" style="210" customWidth="1"/>
    <col min="4" max="4" width="4.875" style="210" customWidth="1"/>
    <col min="5" max="5" width="9.625" style="210" customWidth="1"/>
    <col min="6" max="6" width="2.625" style="210" customWidth="1"/>
    <col min="7" max="7" width="9.625" style="210" customWidth="1"/>
    <col min="8" max="8" width="2.625" style="210" customWidth="1"/>
    <col min="9" max="9" width="9.625" style="210" customWidth="1"/>
    <col min="10" max="10" width="2.625" style="210" customWidth="1"/>
    <col min="11" max="11" width="9.625" style="210" customWidth="1"/>
    <col min="12" max="12" width="2.625" style="210" customWidth="1"/>
    <col min="13" max="13" width="9.625" style="210" customWidth="1"/>
    <col min="14" max="14" width="2.625" style="210" customWidth="1"/>
    <col min="15" max="15" width="10.50390625" style="210" customWidth="1"/>
    <col min="16" max="16" width="2.625" style="210" customWidth="1"/>
    <col min="17" max="17" width="9.625" style="210" customWidth="1"/>
    <col min="18" max="21" width="9.625" style="210" hidden="1" customWidth="1"/>
    <col min="22" max="22" width="3.25390625" style="210" hidden="1" customWidth="1"/>
    <col min="23" max="24" width="9.625" style="210" hidden="1" customWidth="1"/>
    <col min="25" max="25" width="0.6171875" style="210" hidden="1" customWidth="1"/>
    <col min="26" max="26" width="8.50390625" style="210" hidden="1" customWidth="1"/>
    <col min="27" max="27" width="1.25" style="210" hidden="1" customWidth="1"/>
    <col min="28" max="28" width="9.625" style="210" hidden="1" customWidth="1"/>
    <col min="29" max="29" width="1.625" style="210" hidden="1" customWidth="1"/>
    <col min="30" max="30" width="9.625" style="210" hidden="1" customWidth="1"/>
    <col min="31" max="31" width="1.625" style="210" hidden="1" customWidth="1"/>
    <col min="32" max="32" width="9.625" style="210" hidden="1" customWidth="1"/>
    <col min="33" max="33" width="2.00390625" style="210" hidden="1" customWidth="1"/>
    <col min="34" max="34" width="9.625" style="210" hidden="1" customWidth="1"/>
    <col min="35" max="35" width="1.75390625" style="210" hidden="1" customWidth="1"/>
    <col min="36" max="37" width="9.625" style="210" hidden="1" customWidth="1"/>
    <col min="38" max="38" width="0" style="210" hidden="1" customWidth="1"/>
    <col min="39" max="16384" width="9.625" style="210" customWidth="1"/>
  </cols>
  <sheetData>
    <row r="2" spans="2:19" ht="15.75">
      <c r="B2" s="219" t="s">
        <v>70</v>
      </c>
      <c r="C2" s="214"/>
      <c r="D2" s="214"/>
      <c r="E2" s="274">
        <v>44012</v>
      </c>
      <c r="F2" s="241"/>
      <c r="G2" s="274">
        <v>45106</v>
      </c>
      <c r="S2" s="214"/>
    </row>
    <row r="3" spans="2:7" ht="15.75">
      <c r="B3" s="219"/>
      <c r="C3" s="214"/>
      <c r="D3" s="214"/>
      <c r="E3" s="275"/>
      <c r="F3" s="211"/>
      <c r="G3" s="275"/>
    </row>
    <row r="4" spans="2:23" ht="18.75">
      <c r="B4" s="219"/>
      <c r="E4" s="276"/>
      <c r="S4" s="213"/>
      <c r="U4" s="277"/>
      <c r="W4" s="216"/>
    </row>
    <row r="5" spans="1:25" ht="15.75">
      <c r="A5" s="220"/>
      <c r="E5" s="214" t="s">
        <v>217</v>
      </c>
      <c r="G5" s="221" t="s">
        <v>223</v>
      </c>
      <c r="I5" s="221" t="s">
        <v>227</v>
      </c>
      <c r="K5" s="221" t="s">
        <v>231</v>
      </c>
      <c r="M5" s="221" t="s">
        <v>237</v>
      </c>
      <c r="O5" s="221" t="s">
        <v>238</v>
      </c>
      <c r="Q5" s="221" t="s">
        <v>244</v>
      </c>
      <c r="S5" s="213"/>
      <c r="U5" s="277"/>
      <c r="W5" s="214"/>
      <c r="X5" s="214"/>
      <c r="Y5" s="214"/>
    </row>
    <row r="6" spans="1:256" ht="15.75">
      <c r="A6" s="222"/>
      <c r="B6" s="218" t="s">
        <v>71</v>
      </c>
      <c r="C6" s="222"/>
      <c r="D6" s="222"/>
      <c r="E6" s="263" t="s">
        <v>218</v>
      </c>
      <c r="G6" s="263" t="s">
        <v>224</v>
      </c>
      <c r="I6" s="263" t="s">
        <v>228</v>
      </c>
      <c r="K6" s="263" t="s">
        <v>232</v>
      </c>
      <c r="L6" s="223"/>
      <c r="M6" s="263" t="s">
        <v>239</v>
      </c>
      <c r="N6" s="223"/>
      <c r="O6" s="263" t="s">
        <v>240</v>
      </c>
      <c r="P6" s="223"/>
      <c r="Q6" s="263" t="s">
        <v>240</v>
      </c>
      <c r="R6" s="222"/>
      <c r="S6" s="213"/>
      <c r="U6" s="277"/>
      <c r="V6" s="222"/>
      <c r="W6" s="214"/>
      <c r="X6" s="215"/>
      <c r="Y6" s="214"/>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c r="FS6" s="222"/>
      <c r="FT6" s="222"/>
      <c r="FU6" s="222"/>
      <c r="FV6" s="222"/>
      <c r="FW6" s="222"/>
      <c r="FX6" s="222"/>
      <c r="FY6" s="222"/>
      <c r="FZ6" s="222"/>
      <c r="GA6" s="222"/>
      <c r="GB6" s="222"/>
      <c r="GC6" s="222"/>
      <c r="GD6" s="222"/>
      <c r="GE6" s="222"/>
      <c r="GF6" s="222"/>
      <c r="GG6" s="222"/>
      <c r="GH6" s="222"/>
      <c r="GI6" s="222"/>
      <c r="GJ6" s="222"/>
      <c r="GK6" s="222"/>
      <c r="GL6" s="222"/>
      <c r="GM6" s="222"/>
      <c r="GN6" s="222"/>
      <c r="GO6" s="222"/>
      <c r="GP6" s="222"/>
      <c r="GQ6" s="222"/>
      <c r="GR6" s="222"/>
      <c r="GS6" s="222"/>
      <c r="GT6" s="222"/>
      <c r="GU6" s="222"/>
      <c r="GV6" s="222"/>
      <c r="GW6" s="222"/>
      <c r="GX6" s="222"/>
      <c r="GY6" s="222"/>
      <c r="GZ6" s="222"/>
      <c r="HA6" s="222"/>
      <c r="HB6" s="222"/>
      <c r="HC6" s="222"/>
      <c r="HD6" s="222"/>
      <c r="HE6" s="222"/>
      <c r="HF6" s="222"/>
      <c r="HG6" s="222"/>
      <c r="HH6" s="222"/>
      <c r="HI6" s="222"/>
      <c r="HJ6" s="222"/>
      <c r="HK6" s="222"/>
      <c r="HL6" s="222"/>
      <c r="HM6" s="222"/>
      <c r="HN6" s="222"/>
      <c r="HO6" s="222"/>
      <c r="HP6" s="222"/>
      <c r="HQ6" s="222"/>
      <c r="HR6" s="222"/>
      <c r="HS6" s="222"/>
      <c r="HT6" s="222"/>
      <c r="HU6" s="222"/>
      <c r="HV6" s="222"/>
      <c r="HW6" s="222"/>
      <c r="HX6" s="222"/>
      <c r="HY6" s="222"/>
      <c r="HZ6" s="222"/>
      <c r="IA6" s="222"/>
      <c r="IB6" s="222"/>
      <c r="IC6" s="222"/>
      <c r="ID6" s="222"/>
      <c r="IE6" s="222"/>
      <c r="IF6" s="222"/>
      <c r="IG6" s="222"/>
      <c r="IH6" s="222"/>
      <c r="II6" s="222"/>
      <c r="IJ6" s="222"/>
      <c r="IK6" s="222"/>
      <c r="IL6" s="222"/>
      <c r="IM6" s="222"/>
      <c r="IN6" s="222"/>
      <c r="IO6" s="222"/>
      <c r="IP6" s="222"/>
      <c r="IQ6" s="222"/>
      <c r="IR6" s="222"/>
      <c r="IS6" s="222"/>
      <c r="IT6" s="222"/>
      <c r="IU6" s="222"/>
      <c r="IV6" s="222"/>
    </row>
    <row r="7" spans="2:25" ht="15.75">
      <c r="B7" s="212" t="s">
        <v>72</v>
      </c>
      <c r="E7" s="217">
        <v>0.293</v>
      </c>
      <c r="G7" s="217">
        <v>0.284</v>
      </c>
      <c r="I7" s="217">
        <v>0.281</v>
      </c>
      <c r="K7" s="217">
        <v>0.293</v>
      </c>
      <c r="M7" s="217">
        <v>0.295</v>
      </c>
      <c r="O7" s="217">
        <v>0.298</v>
      </c>
      <c r="Q7" s="217">
        <v>0.3</v>
      </c>
      <c r="S7" s="213"/>
      <c r="U7" s="277"/>
      <c r="W7" s="214"/>
      <c r="X7" s="215"/>
      <c r="Y7" s="214"/>
    </row>
    <row r="8" spans="2:24" ht="15.75">
      <c r="B8" s="212" t="s">
        <v>219</v>
      </c>
      <c r="E8" s="217">
        <v>0.375</v>
      </c>
      <c r="G8" s="217">
        <v>0.322</v>
      </c>
      <c r="I8" s="217">
        <v>0.337</v>
      </c>
      <c r="K8" s="217">
        <v>0.353</v>
      </c>
      <c r="M8" s="217">
        <v>0.349</v>
      </c>
      <c r="O8" s="217">
        <f>M8+0.003</f>
        <v>0.352</v>
      </c>
      <c r="Q8" s="217">
        <f>O8+0.003</f>
        <v>0.355</v>
      </c>
      <c r="S8" s="213"/>
      <c r="U8" s="277"/>
      <c r="W8" s="214"/>
      <c r="X8" s="215"/>
    </row>
    <row r="9" spans="2:25" ht="15.75">
      <c r="B9" s="212" t="s">
        <v>220</v>
      </c>
      <c r="E9" s="217">
        <v>0.432</v>
      </c>
      <c r="G9" s="217">
        <v>0.381</v>
      </c>
      <c r="I9" s="217">
        <v>0.415</v>
      </c>
      <c r="K9" s="217">
        <v>0.45</v>
      </c>
      <c r="M9" s="217">
        <v>0.444</v>
      </c>
      <c r="O9" s="217">
        <v>0.458</v>
      </c>
      <c r="Q9" s="217">
        <v>0.473</v>
      </c>
      <c r="S9" s="213"/>
      <c r="U9" s="277"/>
      <c r="W9" s="214"/>
      <c r="X9" s="215"/>
      <c r="Y9" s="214"/>
    </row>
    <row r="10" spans="2:24" ht="15.75">
      <c r="B10" s="212" t="s">
        <v>74</v>
      </c>
      <c r="E10" s="217">
        <v>0.512</v>
      </c>
      <c r="G10" s="217">
        <v>0.475</v>
      </c>
      <c r="I10" s="217">
        <v>0.342</v>
      </c>
      <c r="K10" s="217">
        <v>0.355</v>
      </c>
      <c r="M10" s="217">
        <v>0.392</v>
      </c>
      <c r="O10" s="217">
        <v>0.396</v>
      </c>
      <c r="Q10" s="217">
        <v>0.4</v>
      </c>
      <c r="S10" s="213"/>
      <c r="U10" s="277"/>
      <c r="W10" s="214"/>
      <c r="X10" s="215"/>
    </row>
    <row r="11" spans="2:24" ht="15.75">
      <c r="B11" s="212" t="s">
        <v>75</v>
      </c>
      <c r="E11" s="217">
        <v>0.11</v>
      </c>
      <c r="G11" s="217">
        <v>0.092</v>
      </c>
      <c r="I11" s="217">
        <v>0.077</v>
      </c>
      <c r="K11" s="217">
        <f>I11</f>
        <v>0.077</v>
      </c>
      <c r="M11" s="217">
        <f>K11</f>
        <v>0.077</v>
      </c>
      <c r="O11" s="217">
        <f>M11</f>
        <v>0.077</v>
      </c>
      <c r="Q11" s="217">
        <f>O11</f>
        <v>0.077</v>
      </c>
      <c r="W11" s="214"/>
      <c r="X11" s="215"/>
    </row>
    <row r="12" spans="2:17" ht="15.75">
      <c r="B12" s="212" t="s">
        <v>76</v>
      </c>
      <c r="E12" s="217">
        <v>0.193</v>
      </c>
      <c r="G12" s="217">
        <v>0.188</v>
      </c>
      <c r="I12" s="217">
        <v>0.197</v>
      </c>
      <c r="K12" s="217">
        <v>0.198</v>
      </c>
      <c r="M12" s="217">
        <v>0.199</v>
      </c>
      <c r="O12" s="217">
        <v>0.2</v>
      </c>
      <c r="Q12" s="217">
        <v>0.2</v>
      </c>
    </row>
    <row r="13" spans="5:15" ht="15.75">
      <c r="E13" s="217"/>
      <c r="F13" s="278"/>
      <c r="G13" s="217"/>
      <c r="I13" s="217"/>
      <c r="J13" s="227" t="s">
        <v>210</v>
      </c>
      <c r="K13" s="217"/>
      <c r="M13" s="217"/>
      <c r="O13" s="217"/>
    </row>
    <row r="14" spans="2:36" ht="15.75">
      <c r="B14" s="218" t="s">
        <v>77</v>
      </c>
      <c r="E14" s="278"/>
      <c r="F14" s="278"/>
      <c r="G14" s="278"/>
      <c r="I14" s="278"/>
      <c r="K14" s="278"/>
      <c r="M14" s="278"/>
      <c r="O14" s="278"/>
      <c r="Q14" s="278"/>
      <c r="S14" s="279"/>
      <c r="T14" s="210">
        <f>VALUE(U14)+2000</f>
        <v>2024</v>
      </c>
      <c r="U14" s="279" t="str">
        <f>RIGHT(E5,2)</f>
        <v>24</v>
      </c>
      <c r="X14" s="295" t="s">
        <v>233</v>
      </c>
      <c r="Y14" s="295"/>
      <c r="Z14" s="295"/>
      <c r="AA14" s="295"/>
      <c r="AB14" s="295"/>
      <c r="AC14" s="295"/>
      <c r="AD14" s="295"/>
      <c r="AE14" s="295"/>
      <c r="AF14" s="295"/>
      <c r="AG14" s="295"/>
      <c r="AH14" s="295"/>
      <c r="AI14" s="295"/>
      <c r="AJ14" s="295"/>
    </row>
    <row r="15" spans="2:36" ht="15.75">
      <c r="B15" s="212" t="s">
        <v>78</v>
      </c>
      <c r="E15" s="217">
        <v>0.605</v>
      </c>
      <c r="F15" s="217"/>
      <c r="G15" s="217">
        <v>0.62</v>
      </c>
      <c r="H15" s="217"/>
      <c r="I15" s="217">
        <v>0.62</v>
      </c>
      <c r="J15" s="217"/>
      <c r="K15" s="217">
        <v>0.62</v>
      </c>
      <c r="M15" s="217">
        <f>+K15</f>
        <v>0.62</v>
      </c>
      <c r="O15" s="217">
        <f>+M15</f>
        <v>0.62</v>
      </c>
      <c r="Q15" s="217">
        <f>+O15</f>
        <v>0.62</v>
      </c>
      <c r="S15" s="279"/>
      <c r="T15" s="210">
        <f aca="true" t="shared" si="0" ref="T15:T20">T14+1</f>
        <v>2025</v>
      </c>
      <c r="U15" s="279"/>
      <c r="X15" s="211">
        <f>IF(MONTH(E2)&gt;6,YEAR(E2)+1,YEAR(E2))</f>
        <v>2025</v>
      </c>
      <c r="Y15" s="211"/>
      <c r="Z15" s="211">
        <f>X15+1</f>
        <v>2026</v>
      </c>
      <c r="AA15" s="211"/>
      <c r="AB15" s="211">
        <f>Z15+1</f>
        <v>2027</v>
      </c>
      <c r="AC15" s="211"/>
      <c r="AD15" s="211">
        <f>AB15+1</f>
        <v>2028</v>
      </c>
      <c r="AE15" s="211"/>
      <c r="AF15" s="211">
        <f>AD15+1</f>
        <v>2029</v>
      </c>
      <c r="AG15" s="211"/>
      <c r="AH15" s="211">
        <f>AF15+1</f>
        <v>2030</v>
      </c>
      <c r="AI15" s="211"/>
      <c r="AJ15" s="211">
        <f>AH15+1</f>
        <v>2031</v>
      </c>
    </row>
    <row r="16" spans="2:36" ht="15.75">
      <c r="B16" s="212" t="s">
        <v>79</v>
      </c>
      <c r="E16" s="217">
        <v>0.57</v>
      </c>
      <c r="F16" s="217"/>
      <c r="G16" s="217">
        <v>0.57</v>
      </c>
      <c r="H16" s="217"/>
      <c r="I16" s="217">
        <v>0.57</v>
      </c>
      <c r="J16" s="217"/>
      <c r="K16" s="217">
        <v>0.57</v>
      </c>
      <c r="M16" s="217">
        <f>+K16</f>
        <v>0.57</v>
      </c>
      <c r="O16" s="217">
        <f>+M16</f>
        <v>0.57</v>
      </c>
      <c r="Q16" s="217">
        <f>+O16</f>
        <v>0.57</v>
      </c>
      <c r="S16" s="279"/>
      <c r="T16" s="210">
        <f t="shared" si="0"/>
        <v>2026</v>
      </c>
      <c r="U16" s="279"/>
      <c r="V16" s="213"/>
      <c r="X16" s="211" t="str">
        <f>"FY"&amp;RIGHT(TEXT(X15,"0"),2)</f>
        <v>FY25</v>
      </c>
      <c r="Y16" s="211"/>
      <c r="Z16" s="211" t="str">
        <f>"FY"&amp;RIGHT(TEXT(Z15,"0"),2)</f>
        <v>FY26</v>
      </c>
      <c r="AA16" s="211"/>
      <c r="AB16" s="211" t="str">
        <f>"FY"&amp;RIGHT(TEXT(AB15,"0"),2)</f>
        <v>FY27</v>
      </c>
      <c r="AC16" s="211"/>
      <c r="AD16" s="211" t="str">
        <f>"FY"&amp;RIGHT(TEXT(AD15,"0"),2)</f>
        <v>FY28</v>
      </c>
      <c r="AE16" s="211"/>
      <c r="AF16" s="211" t="str">
        <f>"FY"&amp;RIGHT(TEXT(AF15,"0"),2)</f>
        <v>FY29</v>
      </c>
      <c r="AG16" s="211"/>
      <c r="AH16" s="211" t="str">
        <f>"FY"&amp;RIGHT(TEXT(AH15,"0"),2)</f>
        <v>FY30</v>
      </c>
      <c r="AI16" s="211"/>
      <c r="AJ16" s="211" t="str">
        <f>"FY"&amp;RIGHT(TEXT(AJ15,"0"),2)</f>
        <v>FY31</v>
      </c>
    </row>
    <row r="17" spans="2:21" ht="15.75">
      <c r="B17" s="212" t="s">
        <v>80</v>
      </c>
      <c r="E17" s="217">
        <v>0.3</v>
      </c>
      <c r="F17" s="217"/>
      <c r="G17" s="217">
        <v>0.31</v>
      </c>
      <c r="H17" s="217"/>
      <c r="I17" s="217">
        <v>0.31</v>
      </c>
      <c r="J17" s="217"/>
      <c r="K17" s="217">
        <v>0.31</v>
      </c>
      <c r="M17" s="217">
        <f>+K17</f>
        <v>0.31</v>
      </c>
      <c r="O17" s="217">
        <f>+M17</f>
        <v>0.31</v>
      </c>
      <c r="Q17" s="217">
        <f>+O17</f>
        <v>0.31</v>
      </c>
      <c r="S17" s="279"/>
      <c r="T17" s="210">
        <f t="shared" si="0"/>
        <v>2027</v>
      </c>
      <c r="U17" s="279"/>
    </row>
    <row r="18" spans="5:21" ht="15.75">
      <c r="E18" s="217"/>
      <c r="F18" s="278"/>
      <c r="G18" s="217"/>
      <c r="H18" s="278"/>
      <c r="I18" s="217"/>
      <c r="J18" s="278"/>
      <c r="K18" s="217"/>
      <c r="M18" s="217"/>
      <c r="O18" s="217"/>
      <c r="Q18" s="217"/>
      <c r="S18" s="279"/>
      <c r="T18" s="210">
        <f t="shared" si="0"/>
        <v>2028</v>
      </c>
      <c r="U18" s="279"/>
    </row>
    <row r="19" spans="2:26" ht="15.75">
      <c r="B19" s="218" t="s">
        <v>81</v>
      </c>
      <c r="E19" s="278"/>
      <c r="F19" s="278"/>
      <c r="G19" s="278"/>
      <c r="H19" s="278"/>
      <c r="I19" s="278"/>
      <c r="J19" s="278"/>
      <c r="K19" s="278"/>
      <c r="M19" s="278"/>
      <c r="O19" s="278"/>
      <c r="Q19" s="278"/>
      <c r="S19" s="279"/>
      <c r="T19" s="210">
        <f t="shared" si="0"/>
        <v>2029</v>
      </c>
      <c r="U19" s="279"/>
      <c r="Z19" s="227"/>
    </row>
    <row r="20" spans="2:21" ht="15.75">
      <c r="B20" s="212" t="s">
        <v>78</v>
      </c>
      <c r="E20" s="217">
        <v>0.26</v>
      </c>
      <c r="F20" s="278"/>
      <c r="G20" s="217">
        <v>0.26</v>
      </c>
      <c r="H20" s="278"/>
      <c r="I20" s="217">
        <v>0.26</v>
      </c>
      <c r="J20" s="278"/>
      <c r="K20" s="217">
        <v>0.26</v>
      </c>
      <c r="M20" s="217">
        <v>0.26</v>
      </c>
      <c r="O20" s="217">
        <v>0.26</v>
      </c>
      <c r="Q20" s="217">
        <v>0.26</v>
      </c>
      <c r="S20" s="279"/>
      <c r="T20" s="210">
        <f t="shared" si="0"/>
        <v>2030</v>
      </c>
      <c r="U20" s="279"/>
    </row>
    <row r="21" spans="2:17" ht="15.75">
      <c r="B21" s="212" t="s">
        <v>79</v>
      </c>
      <c r="E21" s="217">
        <v>0.26</v>
      </c>
      <c r="F21" s="278"/>
      <c r="G21" s="217">
        <v>0.26</v>
      </c>
      <c r="H21" s="278"/>
      <c r="I21" s="217">
        <v>0.26</v>
      </c>
      <c r="J21" s="278"/>
      <c r="K21" s="217">
        <v>0.26</v>
      </c>
      <c r="M21" s="217">
        <v>0.26</v>
      </c>
      <c r="O21" s="217">
        <v>0.26</v>
      </c>
      <c r="Q21" s="217">
        <v>0.26</v>
      </c>
    </row>
    <row r="22" spans="2:17" ht="15.75">
      <c r="B22" s="212" t="s">
        <v>80</v>
      </c>
      <c r="E22" s="217">
        <v>0.26</v>
      </c>
      <c r="F22" s="278"/>
      <c r="G22" s="217">
        <v>0.26</v>
      </c>
      <c r="H22" s="278"/>
      <c r="I22" s="217">
        <v>0.26</v>
      </c>
      <c r="J22" s="278"/>
      <c r="K22" s="217">
        <v>0.26</v>
      </c>
      <c r="M22" s="217">
        <v>0.26</v>
      </c>
      <c r="O22" s="217">
        <v>0.26</v>
      </c>
      <c r="Q22" s="217">
        <v>0.26</v>
      </c>
    </row>
    <row r="24" spans="1:256" ht="15.75">
      <c r="A24" s="222"/>
      <c r="B24" s="232" t="s">
        <v>128</v>
      </c>
      <c r="C24" s="233"/>
      <c r="D24" s="233"/>
      <c r="E24" s="234" t="s">
        <v>121</v>
      </c>
      <c r="F24" s="233"/>
      <c r="G24" s="234" t="s">
        <v>122</v>
      </c>
      <c r="H24" s="233"/>
      <c r="I24" s="234" t="s">
        <v>123</v>
      </c>
      <c r="J24" s="233"/>
      <c r="K24" s="234" t="s">
        <v>124</v>
      </c>
      <c r="L24" s="233"/>
      <c r="M24" s="234" t="s">
        <v>125</v>
      </c>
      <c r="N24" s="233"/>
      <c r="O24" s="234" t="s">
        <v>126</v>
      </c>
      <c r="P24" s="233"/>
      <c r="Q24" s="234" t="s">
        <v>127</v>
      </c>
      <c r="R24" s="222"/>
      <c r="T24" s="222"/>
      <c r="U24" s="222"/>
      <c r="V24" s="222"/>
      <c r="W24" s="222" t="s">
        <v>234</v>
      </c>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c r="FS24" s="222"/>
      <c r="FT24" s="222"/>
      <c r="FU24" s="222"/>
      <c r="FV24" s="222"/>
      <c r="FW24" s="222"/>
      <c r="FX24" s="222"/>
      <c r="FY24" s="222"/>
      <c r="FZ24" s="222"/>
      <c r="GA24" s="222"/>
      <c r="GB24" s="222"/>
      <c r="GC24" s="222"/>
      <c r="GD24" s="222"/>
      <c r="GE24" s="222"/>
      <c r="GF24" s="222"/>
      <c r="GG24" s="222"/>
      <c r="GH24" s="222"/>
      <c r="GI24" s="222"/>
      <c r="GJ24" s="222"/>
      <c r="GK24" s="222"/>
      <c r="GL24" s="222"/>
      <c r="GM24" s="222"/>
      <c r="GN24" s="222"/>
      <c r="GO24" s="222"/>
      <c r="GP24" s="222"/>
      <c r="GQ24" s="222"/>
      <c r="GR24" s="222"/>
      <c r="GS24" s="222"/>
      <c r="GT24" s="222"/>
      <c r="GU24" s="222"/>
      <c r="GV24" s="222"/>
      <c r="GW24" s="222"/>
      <c r="GX24" s="222"/>
      <c r="GY24" s="222"/>
      <c r="GZ24" s="222"/>
      <c r="HA24" s="222"/>
      <c r="HB24" s="222"/>
      <c r="HC24" s="222"/>
      <c r="HD24" s="222"/>
      <c r="HE24" s="222"/>
      <c r="HF24" s="222"/>
      <c r="HG24" s="222"/>
      <c r="HH24" s="222"/>
      <c r="HI24" s="222"/>
      <c r="HJ24" s="222"/>
      <c r="HK24" s="222"/>
      <c r="HL24" s="222"/>
      <c r="HM24" s="222"/>
      <c r="HN24" s="222"/>
      <c r="HO24" s="222"/>
      <c r="HP24" s="222"/>
      <c r="HQ24" s="222"/>
      <c r="HR24" s="222"/>
      <c r="HS24" s="222"/>
      <c r="HT24" s="222"/>
      <c r="HU24" s="222"/>
      <c r="HV24" s="222"/>
      <c r="HW24" s="222"/>
      <c r="HX24" s="222"/>
      <c r="HY24" s="222"/>
      <c r="HZ24" s="222"/>
      <c r="IA24" s="222"/>
      <c r="IB24" s="222"/>
      <c r="IC24" s="222"/>
      <c r="ID24" s="222"/>
      <c r="IE24" s="222"/>
      <c r="IF24" s="222"/>
      <c r="IG24" s="222"/>
      <c r="IH24" s="222"/>
      <c r="II24" s="222"/>
      <c r="IJ24" s="222"/>
      <c r="IK24" s="222"/>
      <c r="IL24" s="222"/>
      <c r="IM24" s="222"/>
      <c r="IN24" s="222"/>
      <c r="IO24" s="222"/>
      <c r="IP24" s="222"/>
      <c r="IQ24" s="222"/>
      <c r="IR24" s="222"/>
      <c r="IS24" s="222"/>
      <c r="IT24" s="222"/>
      <c r="IU24" s="222"/>
      <c r="IV24" s="222"/>
    </row>
    <row r="25" spans="2:23" ht="15.75">
      <c r="B25" s="236" t="s">
        <v>72</v>
      </c>
      <c r="C25" s="280"/>
      <c r="D25" s="280"/>
      <c r="E25" s="235">
        <f aca="true" t="shared" si="1" ref="E25:E30">IF(X$15&lt;$T$20,HLOOKUP(X$16,$E$5:$Q$17,$W25,FALSE),$Q7+(0.005*(X$15-$T$20)))</f>
        <v>0.284</v>
      </c>
      <c r="F25" s="281"/>
      <c r="G25" s="235">
        <f aca="true" t="shared" si="2" ref="G25:G30">IF(Z$15&lt;$T$20,HLOOKUP(Z$16,$E$5:$Q$17,$W25,FALSE),$Q7+(0.005*(Z$15-$T$20)))</f>
        <v>0.281</v>
      </c>
      <c r="H25" s="281"/>
      <c r="I25" s="235">
        <f aca="true" t="shared" si="3" ref="I25:I30">IF(AB$15&lt;$T$20,HLOOKUP(AB$16,$E$5:$Q$17,$W25,FALSE),$Q7+(0.005*(AB$15-$T$20)))</f>
        <v>0.293</v>
      </c>
      <c r="J25" s="281"/>
      <c r="K25" s="235">
        <f aca="true" t="shared" si="4" ref="K25:K30">IF(AD$15&lt;$T$20,HLOOKUP(AD$16,$E$5:$Q$17,$W25,FALSE),$Q7+(0.005*(AD$15-$T$20)))</f>
        <v>0.295</v>
      </c>
      <c r="L25" s="281"/>
      <c r="M25" s="235">
        <f aca="true" t="shared" si="5" ref="M25:M30">IF(AF$15&lt;$T$20,HLOOKUP(AF$16,$E$5:$Q$17,$W25,FALSE),$Q7+(0.005*(AF$15-$T$20)))</f>
        <v>0.298</v>
      </c>
      <c r="N25" s="281"/>
      <c r="O25" s="235">
        <f aca="true" t="shared" si="6" ref="O25:O30">IF(AH$15&lt;$T$20,HLOOKUP(AH$16,$E$5:$Q$17,$W25,FALSE),$Q7+(0.005*(AH$15-$T$20)))</f>
        <v>0.3</v>
      </c>
      <c r="P25" s="281"/>
      <c r="Q25" s="235">
        <f aca="true" t="shared" si="7" ref="Q25:Q30">IF(AJ$15&lt;$T$20,HLOOKUP(AJ$16,$E$5:$Q$17,$W25,FALSE),$Q7+(0.005*(AJ$15-$T$20)))</f>
        <v>0.305</v>
      </c>
      <c r="W25" s="210">
        <v>3</v>
      </c>
    </row>
    <row r="26" spans="2:23" ht="15.75">
      <c r="B26" s="236" t="s">
        <v>73</v>
      </c>
      <c r="C26" s="280"/>
      <c r="D26" s="280"/>
      <c r="E26" s="235">
        <f t="shared" si="1"/>
        <v>0.322</v>
      </c>
      <c r="F26" s="282"/>
      <c r="G26" s="235">
        <f t="shared" si="2"/>
        <v>0.337</v>
      </c>
      <c r="H26" s="281"/>
      <c r="I26" s="235">
        <f t="shared" si="3"/>
        <v>0.353</v>
      </c>
      <c r="J26" s="282"/>
      <c r="K26" s="235">
        <f t="shared" si="4"/>
        <v>0.349</v>
      </c>
      <c r="L26" s="282"/>
      <c r="M26" s="235">
        <f t="shared" si="5"/>
        <v>0.352</v>
      </c>
      <c r="N26" s="282"/>
      <c r="O26" s="235">
        <f t="shared" si="6"/>
        <v>0.355</v>
      </c>
      <c r="P26" s="282"/>
      <c r="Q26" s="235">
        <f t="shared" si="7"/>
        <v>0.36</v>
      </c>
      <c r="W26" s="210">
        <v>4</v>
      </c>
    </row>
    <row r="27" spans="2:23" ht="15.75">
      <c r="B27" s="236" t="s">
        <v>220</v>
      </c>
      <c r="C27" s="280"/>
      <c r="D27" s="280"/>
      <c r="E27" s="235">
        <f t="shared" si="1"/>
        <v>0.381</v>
      </c>
      <c r="F27" s="282"/>
      <c r="G27" s="235">
        <f t="shared" si="2"/>
        <v>0.415</v>
      </c>
      <c r="H27" s="281"/>
      <c r="I27" s="235">
        <f t="shared" si="3"/>
        <v>0.45</v>
      </c>
      <c r="J27" s="282"/>
      <c r="K27" s="235">
        <f t="shared" si="4"/>
        <v>0.444</v>
      </c>
      <c r="L27" s="282"/>
      <c r="M27" s="235">
        <f t="shared" si="5"/>
        <v>0.458</v>
      </c>
      <c r="N27" s="282"/>
      <c r="O27" s="235">
        <f t="shared" si="6"/>
        <v>0.473</v>
      </c>
      <c r="P27" s="282"/>
      <c r="Q27" s="235">
        <f t="shared" si="7"/>
        <v>0.478</v>
      </c>
      <c r="W27" s="210">
        <v>5</v>
      </c>
    </row>
    <row r="28" spans="2:23" ht="15.75">
      <c r="B28" s="236" t="s">
        <v>74</v>
      </c>
      <c r="C28" s="280"/>
      <c r="D28" s="280"/>
      <c r="E28" s="235">
        <f t="shared" si="1"/>
        <v>0.475</v>
      </c>
      <c r="F28" s="282"/>
      <c r="G28" s="235">
        <f t="shared" si="2"/>
        <v>0.342</v>
      </c>
      <c r="H28" s="281"/>
      <c r="I28" s="235">
        <f t="shared" si="3"/>
        <v>0.355</v>
      </c>
      <c r="J28" s="282"/>
      <c r="K28" s="235">
        <f t="shared" si="4"/>
        <v>0.392</v>
      </c>
      <c r="L28" s="282"/>
      <c r="M28" s="235">
        <f t="shared" si="5"/>
        <v>0.396</v>
      </c>
      <c r="N28" s="282"/>
      <c r="O28" s="235">
        <f t="shared" si="6"/>
        <v>0.4</v>
      </c>
      <c r="P28" s="282"/>
      <c r="Q28" s="235">
        <f t="shared" si="7"/>
        <v>0.405</v>
      </c>
      <c r="W28" s="210">
        <v>6</v>
      </c>
    </row>
    <row r="29" spans="2:23" ht="15.75">
      <c r="B29" s="236" t="s">
        <v>75</v>
      </c>
      <c r="C29" s="280"/>
      <c r="D29" s="280"/>
      <c r="E29" s="235">
        <f t="shared" si="1"/>
        <v>0.092</v>
      </c>
      <c r="F29" s="282"/>
      <c r="G29" s="235">
        <f t="shared" si="2"/>
        <v>0.077</v>
      </c>
      <c r="H29" s="281"/>
      <c r="I29" s="235">
        <f t="shared" si="3"/>
        <v>0.077</v>
      </c>
      <c r="J29" s="282"/>
      <c r="K29" s="235">
        <f t="shared" si="4"/>
        <v>0.077</v>
      </c>
      <c r="L29" s="282"/>
      <c r="M29" s="235">
        <f t="shared" si="5"/>
        <v>0.077</v>
      </c>
      <c r="N29" s="282"/>
      <c r="O29" s="235">
        <f t="shared" si="6"/>
        <v>0.077</v>
      </c>
      <c r="P29" s="282"/>
      <c r="Q29" s="235">
        <f t="shared" si="7"/>
        <v>0.082</v>
      </c>
      <c r="W29" s="210">
        <v>7</v>
      </c>
    </row>
    <row r="30" spans="2:23" ht="15.75">
      <c r="B30" s="236" t="s">
        <v>76</v>
      </c>
      <c r="C30" s="280"/>
      <c r="D30" s="280"/>
      <c r="E30" s="235">
        <f t="shared" si="1"/>
        <v>0.188</v>
      </c>
      <c r="F30" s="282"/>
      <c r="G30" s="235">
        <f t="shared" si="2"/>
        <v>0.197</v>
      </c>
      <c r="H30" s="281"/>
      <c r="I30" s="235">
        <f t="shared" si="3"/>
        <v>0.198</v>
      </c>
      <c r="J30" s="282"/>
      <c r="K30" s="235">
        <f t="shared" si="4"/>
        <v>0.199</v>
      </c>
      <c r="L30" s="282"/>
      <c r="M30" s="235">
        <f t="shared" si="5"/>
        <v>0.2</v>
      </c>
      <c r="N30" s="282"/>
      <c r="O30" s="235">
        <f t="shared" si="6"/>
        <v>0.2</v>
      </c>
      <c r="P30" s="282"/>
      <c r="Q30" s="235">
        <f t="shared" si="7"/>
        <v>0.20500000000000002</v>
      </c>
      <c r="W30" s="210">
        <v>8</v>
      </c>
    </row>
    <row r="31" spans="2:23" ht="15.75">
      <c r="B31" s="236" t="s">
        <v>205</v>
      </c>
      <c r="C31" s="280"/>
      <c r="D31" s="280"/>
      <c r="E31" s="235">
        <f>IF(X$15&lt;$T$20,HLOOKUP(X$16,$E$5:$Q$17,$W31,FALSE),$Q15)</f>
        <v>0.62</v>
      </c>
      <c r="F31" s="282"/>
      <c r="G31" s="235">
        <f>IF(Z$15&lt;$T$20,HLOOKUP(Z$16,$E$5:$Q$17,$W31,FALSE),$Q15)</f>
        <v>0.62</v>
      </c>
      <c r="H31" s="281"/>
      <c r="I31" s="235">
        <f>IF(AB$15&lt;$T$20,HLOOKUP(AB$16,$E$5:$Q$17,$W31,FALSE),$Q15)</f>
        <v>0.62</v>
      </c>
      <c r="J31" s="282"/>
      <c r="K31" s="235">
        <f>IF(AD$15&lt;$T$20,HLOOKUP(AD$16,$E$5:$Q$17,$W31,FALSE),$Q15)</f>
        <v>0.62</v>
      </c>
      <c r="L31" s="282"/>
      <c r="M31" s="235">
        <f>IF(AF$15&lt;$T$20,HLOOKUP(AF$16,$E$5:$Q$17,$W31,FALSE),$Q15)</f>
        <v>0.62</v>
      </c>
      <c r="N31" s="282"/>
      <c r="O31" s="235">
        <f>IF(AH$15&lt;$T$20,HLOOKUP(AH$16,$E$5:$Q$17,$W31,FALSE),$Q15)</f>
        <v>0.62</v>
      </c>
      <c r="P31" s="282"/>
      <c r="Q31" s="235">
        <f>IF(AJ$15&lt;$T$20,HLOOKUP(AJ$16,$E$5:$Q$17,$W31,FALSE),$Q15)</f>
        <v>0.62</v>
      </c>
      <c r="W31" s="210">
        <v>11</v>
      </c>
    </row>
    <row r="32" spans="2:23" ht="15.75">
      <c r="B32" s="236" t="s">
        <v>206</v>
      </c>
      <c r="C32" s="280"/>
      <c r="D32" s="280"/>
      <c r="E32" s="235">
        <f>IF(X$15&lt;$T$20,HLOOKUP(X$16,$E$5:$Q$17,$W32,FALSE),$Q16)</f>
        <v>0.57</v>
      </c>
      <c r="F32" s="282"/>
      <c r="G32" s="235">
        <f>IF(Z$15&lt;$T$20,HLOOKUP(Z$16,$E$5:$Q$17,$W32,FALSE),$Q16)</f>
        <v>0.57</v>
      </c>
      <c r="H32" s="281"/>
      <c r="I32" s="235">
        <f>IF(AB$15&lt;$T$20,HLOOKUP(AB$16,$E$5:$Q$17,$W32,FALSE),$Q16)</f>
        <v>0.57</v>
      </c>
      <c r="J32" s="282"/>
      <c r="K32" s="235">
        <f>IF(AD$15&lt;$T$20,HLOOKUP(AD$16,$E$5:$Q$17,$W32,FALSE),$Q16)</f>
        <v>0.57</v>
      </c>
      <c r="L32" s="282"/>
      <c r="M32" s="235">
        <f>IF(AF$15&lt;$T$20,HLOOKUP(AF$16,$E$5:$Q$17,$W32,FALSE),$Q16)</f>
        <v>0.57</v>
      </c>
      <c r="N32" s="282"/>
      <c r="O32" s="235">
        <f>IF(AH$15&lt;$T$20,HLOOKUP(AH$16,$E$5:$Q$17,$W32,FALSE),$Q16)</f>
        <v>0.57</v>
      </c>
      <c r="P32" s="282"/>
      <c r="Q32" s="235">
        <f>IF(AJ$15&lt;$T$20,HLOOKUP(AJ$16,$E$5:$Q$17,$W32,FALSE),$Q16)</f>
        <v>0.57</v>
      </c>
      <c r="W32" s="210">
        <v>12</v>
      </c>
    </row>
    <row r="33" spans="2:23" ht="15.75">
      <c r="B33" s="236" t="s">
        <v>207</v>
      </c>
      <c r="C33" s="280"/>
      <c r="D33" s="280"/>
      <c r="E33" s="235">
        <f>IF(X$15&lt;$T$20,HLOOKUP(X$16,$E$5:$Q$17,$W33,FALSE),$Q17)</f>
        <v>0.31</v>
      </c>
      <c r="F33" s="282"/>
      <c r="G33" s="235">
        <f>IF(Z$15&lt;$T$20,HLOOKUP(Z$16,$E$5:$Q$17,$W33,FALSE),$Q17)</f>
        <v>0.31</v>
      </c>
      <c r="H33" s="281"/>
      <c r="I33" s="235">
        <f>IF(AB$15&lt;$T$20,HLOOKUP(AB$16,$E$5:$Q$17,$W33,FALSE),$Q17)</f>
        <v>0.31</v>
      </c>
      <c r="J33" s="282"/>
      <c r="K33" s="235">
        <f>IF(AD$15&lt;$T$20,HLOOKUP(AD$16,$E$5:$Q$17,$W33,FALSE),$Q17)</f>
        <v>0.31</v>
      </c>
      <c r="L33" s="282"/>
      <c r="M33" s="235">
        <f>IF(AF$15&lt;$T$20,HLOOKUP(AF$16,$E$5:$Q$17,$W33,FALSE),$Q17)</f>
        <v>0.31</v>
      </c>
      <c r="N33" s="282"/>
      <c r="O33" s="235">
        <f>IF(AH$15&lt;$T$20,HLOOKUP(AH$16,$E$5:$Q$17,$W33,FALSE),$Q17)</f>
        <v>0.31</v>
      </c>
      <c r="P33" s="282"/>
      <c r="Q33" s="235">
        <f>IF(AJ$15&lt;$T$20,HLOOKUP(AJ$16,$E$5:$Q$17,$W33,FALSE),$Q17)</f>
        <v>0.31</v>
      </c>
      <c r="W33" s="210">
        <v>13</v>
      </c>
    </row>
    <row r="34" spans="2:17" ht="15.75">
      <c r="B34" s="212" t="s">
        <v>0</v>
      </c>
      <c r="Q34" s="217"/>
    </row>
    <row r="35" spans="2:5" ht="15.75">
      <c r="B35" s="218" t="s">
        <v>82</v>
      </c>
      <c r="E35" s="209"/>
    </row>
    <row r="36" spans="3:13" ht="15.75">
      <c r="C36" s="212" t="s">
        <v>0</v>
      </c>
      <c r="D36" s="212" t="s">
        <v>0</v>
      </c>
      <c r="J36" s="222"/>
      <c r="K36" s="222"/>
      <c r="M36" s="222"/>
    </row>
    <row r="37" spans="2:17" ht="15.75">
      <c r="B37" s="218" t="s">
        <v>71</v>
      </c>
      <c r="C37" s="224" t="s">
        <v>83</v>
      </c>
      <c r="D37" s="224"/>
      <c r="E37" s="223" t="s">
        <v>84</v>
      </c>
      <c r="F37" s="225"/>
      <c r="G37" s="223" t="s">
        <v>85</v>
      </c>
      <c r="H37" s="225"/>
      <c r="I37" s="223" t="s">
        <v>86</v>
      </c>
      <c r="K37" s="223" t="s">
        <v>87</v>
      </c>
      <c r="M37" s="223" t="s">
        <v>88</v>
      </c>
      <c r="O37" s="223" t="s">
        <v>89</v>
      </c>
      <c r="Q37" s="223" t="s">
        <v>90</v>
      </c>
    </row>
    <row r="38" spans="2:17" ht="15.75">
      <c r="B38" s="212" t="s">
        <v>55</v>
      </c>
      <c r="C38" s="283">
        <f>IF(MONTH($E$2)&lt;7,7-MONTH($E$2),19-MONTH($E$2))</f>
        <v>12</v>
      </c>
      <c r="D38" s="283">
        <f aca="true" t="shared" si="8" ref="D38:D43">12-C38</f>
        <v>0</v>
      </c>
      <c r="E38" s="278">
        <f aca="true" t="shared" si="9" ref="E38:E43">((E25*C38)+(G25*D38))/12</f>
        <v>0.284</v>
      </c>
      <c r="F38" s="278"/>
      <c r="G38" s="278">
        <f aca="true" t="shared" si="10" ref="G38:G43">((G25*C38)+(I25*D38))/12</f>
        <v>0.281</v>
      </c>
      <c r="H38" s="278"/>
      <c r="I38" s="278">
        <f aca="true" t="shared" si="11" ref="I38:I43">((I25*C38)+(K25*D38))/12</f>
        <v>0.293</v>
      </c>
      <c r="J38" s="278"/>
      <c r="K38" s="278">
        <f aca="true" t="shared" si="12" ref="K38:K43">((K25*C38)+(M25*D38))/12</f>
        <v>0.295</v>
      </c>
      <c r="M38" s="278">
        <f aca="true" t="shared" si="13" ref="M38:M43">((M25*C38)+(O25*D38))/12</f>
        <v>0.298</v>
      </c>
      <c r="O38" s="278">
        <f aca="true" t="shared" si="14" ref="O38:O43">((O25*C38)+(Q25*D38))/12</f>
        <v>0.3</v>
      </c>
      <c r="P38" s="214"/>
      <c r="Q38" s="278">
        <f aca="true" t="shared" si="15" ref="Q38:Q43">((Q25*C38)+((Q25+0.005)*D38))/12</f>
        <v>0.305</v>
      </c>
    </row>
    <row r="39" spans="2:17" ht="15.75">
      <c r="B39" s="212" t="s">
        <v>91</v>
      </c>
      <c r="C39" s="283">
        <f>$C$38</f>
        <v>12</v>
      </c>
      <c r="D39" s="283">
        <f t="shared" si="8"/>
        <v>0</v>
      </c>
      <c r="E39" s="278">
        <f t="shared" si="9"/>
        <v>0.322</v>
      </c>
      <c r="F39" s="278"/>
      <c r="G39" s="278">
        <f t="shared" si="10"/>
        <v>0.337</v>
      </c>
      <c r="H39" s="278"/>
      <c r="I39" s="278">
        <f t="shared" si="11"/>
        <v>0.353</v>
      </c>
      <c r="J39" s="278"/>
      <c r="K39" s="278">
        <f t="shared" si="12"/>
        <v>0.349</v>
      </c>
      <c r="M39" s="278">
        <f t="shared" si="13"/>
        <v>0.35200000000000004</v>
      </c>
      <c r="O39" s="278">
        <f t="shared" si="14"/>
        <v>0.355</v>
      </c>
      <c r="P39" s="214"/>
      <c r="Q39" s="278">
        <f t="shared" si="15"/>
        <v>0.36000000000000004</v>
      </c>
    </row>
    <row r="40" spans="2:17" ht="15.75">
      <c r="B40" s="212" t="s">
        <v>220</v>
      </c>
      <c r="C40" s="283">
        <f>$C$38</f>
        <v>12</v>
      </c>
      <c r="D40" s="283">
        <f t="shared" si="8"/>
        <v>0</v>
      </c>
      <c r="E40" s="278">
        <f t="shared" si="9"/>
        <v>0.381</v>
      </c>
      <c r="F40" s="278"/>
      <c r="G40" s="278">
        <f t="shared" si="10"/>
        <v>0.415</v>
      </c>
      <c r="H40" s="278"/>
      <c r="I40" s="278">
        <f t="shared" si="11"/>
        <v>0.45</v>
      </c>
      <c r="J40" s="278"/>
      <c r="K40" s="278">
        <f t="shared" si="12"/>
        <v>0.444</v>
      </c>
      <c r="M40" s="278">
        <f t="shared" si="13"/>
        <v>0.458</v>
      </c>
      <c r="O40" s="278">
        <f t="shared" si="14"/>
        <v>0.47300000000000003</v>
      </c>
      <c r="P40" s="214"/>
      <c r="Q40" s="278">
        <f t="shared" si="15"/>
        <v>0.478</v>
      </c>
    </row>
    <row r="41" spans="2:17" ht="15.75">
      <c r="B41" s="212" t="s">
        <v>74</v>
      </c>
      <c r="C41" s="283">
        <f>$C$38</f>
        <v>12</v>
      </c>
      <c r="D41" s="283">
        <f t="shared" si="8"/>
        <v>0</v>
      </c>
      <c r="E41" s="278">
        <f t="shared" si="9"/>
        <v>0.4749999999999999</v>
      </c>
      <c r="F41" s="278"/>
      <c r="G41" s="278">
        <f t="shared" si="10"/>
        <v>0.342</v>
      </c>
      <c r="H41" s="278"/>
      <c r="I41" s="278">
        <f t="shared" si="11"/>
        <v>0.355</v>
      </c>
      <c r="J41" s="278"/>
      <c r="K41" s="278">
        <f t="shared" si="12"/>
        <v>0.39200000000000007</v>
      </c>
      <c r="M41" s="278">
        <f t="shared" si="13"/>
        <v>0.3960000000000001</v>
      </c>
      <c r="O41" s="278">
        <f t="shared" si="14"/>
        <v>0.4000000000000001</v>
      </c>
      <c r="P41" s="214"/>
      <c r="Q41" s="278">
        <f t="shared" si="15"/>
        <v>0.405</v>
      </c>
    </row>
    <row r="42" spans="2:17" ht="15.75">
      <c r="B42" s="212" t="s">
        <v>75</v>
      </c>
      <c r="C42" s="283">
        <f>$C$38</f>
        <v>12</v>
      </c>
      <c r="D42" s="283">
        <f t="shared" si="8"/>
        <v>0</v>
      </c>
      <c r="E42" s="278">
        <f t="shared" si="9"/>
        <v>0.09200000000000001</v>
      </c>
      <c r="F42" s="278"/>
      <c r="G42" s="278">
        <f t="shared" si="10"/>
        <v>0.077</v>
      </c>
      <c r="H42" s="278"/>
      <c r="I42" s="278">
        <f t="shared" si="11"/>
        <v>0.077</v>
      </c>
      <c r="J42" s="278"/>
      <c r="K42" s="278">
        <f t="shared" si="12"/>
        <v>0.077</v>
      </c>
      <c r="M42" s="278">
        <f t="shared" si="13"/>
        <v>0.077</v>
      </c>
      <c r="O42" s="278">
        <f t="shared" si="14"/>
        <v>0.077</v>
      </c>
      <c r="P42" s="214"/>
      <c r="Q42" s="278">
        <f t="shared" si="15"/>
        <v>0.082</v>
      </c>
    </row>
    <row r="43" spans="2:17" ht="15.75">
      <c r="B43" s="212" t="s">
        <v>92</v>
      </c>
      <c r="C43" s="283">
        <f>$C$38</f>
        <v>12</v>
      </c>
      <c r="D43" s="283">
        <f t="shared" si="8"/>
        <v>0</v>
      </c>
      <c r="E43" s="278">
        <f t="shared" si="9"/>
        <v>0.18800000000000003</v>
      </c>
      <c r="F43" s="278"/>
      <c r="G43" s="278">
        <f t="shared" si="10"/>
        <v>0.19699999999999998</v>
      </c>
      <c r="H43" s="278"/>
      <c r="I43" s="278">
        <f t="shared" si="11"/>
        <v>0.19800000000000004</v>
      </c>
      <c r="J43" s="278"/>
      <c r="K43" s="278">
        <f t="shared" si="12"/>
        <v>0.19899999999999998</v>
      </c>
      <c r="M43" s="278">
        <f t="shared" si="13"/>
        <v>0.20000000000000004</v>
      </c>
      <c r="O43" s="278">
        <f t="shared" si="14"/>
        <v>0.20000000000000004</v>
      </c>
      <c r="P43" s="214"/>
      <c r="Q43" s="278">
        <f t="shared" si="15"/>
        <v>0.205</v>
      </c>
    </row>
    <row r="44" spans="3:17" ht="15.75">
      <c r="C44" s="214"/>
      <c r="D44" s="214"/>
      <c r="J44" s="278"/>
      <c r="Q44" s="284" t="s">
        <v>0</v>
      </c>
    </row>
    <row r="45" spans="2:17" ht="15.75">
      <c r="B45" s="218" t="s">
        <v>77</v>
      </c>
      <c r="C45" s="214"/>
      <c r="D45" s="214"/>
      <c r="Q45" s="284" t="s">
        <v>0</v>
      </c>
    </row>
    <row r="46" spans="2:17" ht="15.75">
      <c r="B46" s="212" t="s">
        <v>78</v>
      </c>
      <c r="C46" s="283">
        <f>$C$38</f>
        <v>12</v>
      </c>
      <c r="D46" s="283">
        <f>12-C46</f>
        <v>0</v>
      </c>
      <c r="E46" s="278">
        <f>((E31*C46)+(G31*D46))/12</f>
        <v>0.62</v>
      </c>
      <c r="F46" s="278"/>
      <c r="G46" s="278">
        <f>((G31*C46)+(I31*D46))/12</f>
        <v>0.62</v>
      </c>
      <c r="H46" s="278"/>
      <c r="I46" s="278">
        <f>((I31*C46)+(K31*D46))/12</f>
        <v>0.62</v>
      </c>
      <c r="K46" s="278">
        <f>((K31*C46)+(M31*D46))/12</f>
        <v>0.62</v>
      </c>
      <c r="M46" s="278">
        <f>((M31*C46)+(O31*D46))/12</f>
        <v>0.62</v>
      </c>
      <c r="O46" s="278">
        <f>((O31*C46)+(Q31*D46))/12</f>
        <v>0.62</v>
      </c>
      <c r="Q46" s="278">
        <f>+O46</f>
        <v>0.62</v>
      </c>
    </row>
    <row r="47" spans="2:17" ht="15.75">
      <c r="B47" s="212" t="s">
        <v>79</v>
      </c>
      <c r="C47" s="283">
        <f>$C$38</f>
        <v>12</v>
      </c>
      <c r="D47" s="283">
        <f>12-C47</f>
        <v>0</v>
      </c>
      <c r="E47" s="278">
        <f>((E32*C47)+(G32*D47))/12</f>
        <v>0.57</v>
      </c>
      <c r="F47" s="278"/>
      <c r="G47" s="278">
        <f>((G32*C47)+(I32*D47))/12</f>
        <v>0.57</v>
      </c>
      <c r="H47" s="278"/>
      <c r="I47" s="278">
        <f>((I32*C47)+(K32*D47))/12</f>
        <v>0.57</v>
      </c>
      <c r="K47" s="278">
        <f>((K32*C47)+(M32*D47))/12</f>
        <v>0.57</v>
      </c>
      <c r="M47" s="278">
        <f>((M32*C47)+(O32*D47))/12</f>
        <v>0.57</v>
      </c>
      <c r="O47" s="278">
        <f>((O32*C47)+(Q32*D47))/12</f>
        <v>0.57</v>
      </c>
      <c r="Q47" s="278">
        <f>+O47</f>
        <v>0.57</v>
      </c>
    </row>
    <row r="48" spans="2:17" ht="15.75">
      <c r="B48" s="212" t="s">
        <v>80</v>
      </c>
      <c r="C48" s="283">
        <f>$C$38</f>
        <v>12</v>
      </c>
      <c r="D48" s="283">
        <f>12-C48</f>
        <v>0</v>
      </c>
      <c r="E48" s="278">
        <f>((E33*C48)+(G33*D48))/12</f>
        <v>0.31</v>
      </c>
      <c r="F48" s="278"/>
      <c r="G48" s="278">
        <f>((G33*C48)+(I33*D48))/12</f>
        <v>0.31</v>
      </c>
      <c r="H48" s="278"/>
      <c r="I48" s="278">
        <f>((I33*C48)+(K33*D48))/12</f>
        <v>0.31</v>
      </c>
      <c r="K48" s="278">
        <f>((K33*C48)+(M33*D48))/12</f>
        <v>0.31</v>
      </c>
      <c r="M48" s="278">
        <f>((M33*C48)+(O33*D48))/12</f>
        <v>0.31</v>
      </c>
      <c r="O48" s="278">
        <f>((O33*C48)+(Q33*D48))/12</f>
        <v>0.31</v>
      </c>
      <c r="Q48" s="278">
        <f>+O48</f>
        <v>0.31</v>
      </c>
    </row>
    <row r="49" spans="3:17" ht="15.75">
      <c r="C49" s="214"/>
      <c r="D49" s="214"/>
      <c r="K49" s="284" t="s">
        <v>0</v>
      </c>
      <c r="M49" s="284" t="s">
        <v>0</v>
      </c>
      <c r="O49" s="284" t="s">
        <v>0</v>
      </c>
      <c r="Q49" s="284" t="s">
        <v>0</v>
      </c>
    </row>
    <row r="50" spans="2:17" ht="15.75">
      <c r="B50" s="218" t="s">
        <v>204</v>
      </c>
      <c r="C50" s="214"/>
      <c r="D50" s="214"/>
      <c r="K50" s="284" t="s">
        <v>0</v>
      </c>
      <c r="M50" s="284" t="s">
        <v>0</v>
      </c>
      <c r="O50" s="284" t="s">
        <v>0</v>
      </c>
      <c r="Q50" s="284" t="s">
        <v>0</v>
      </c>
    </row>
    <row r="51" spans="2:17" ht="15.75">
      <c r="B51" s="212" t="s">
        <v>78</v>
      </c>
      <c r="C51" s="283">
        <f>$C$38</f>
        <v>12</v>
      </c>
      <c r="D51" s="283">
        <f>12-C51</f>
        <v>0</v>
      </c>
      <c r="E51" s="278">
        <f>IF($E$3="FY18",E20,IF($E$3="FY19",G20,IF($E$3="FY20",I20,IF($E$3="FY21",K20,IF($E$3="FY22",M20,IF($E$3="FY23",O20,IF($E$3="FY24",Q20,0)))))))</f>
        <v>0.26</v>
      </c>
      <c r="F51" s="278"/>
      <c r="G51" s="278">
        <f>((G20*C51)+(I20*D51))/12</f>
        <v>0.26</v>
      </c>
      <c r="H51" s="278"/>
      <c r="I51" s="278">
        <f>((I20*C51)+(K20*D51))/12</f>
        <v>0.26</v>
      </c>
      <c r="K51" s="278">
        <f>((K20*C51)+(M20*D51))/12</f>
        <v>0.26</v>
      </c>
      <c r="M51" s="278">
        <f>((M20*C51)+(O20*D51))/12</f>
        <v>0.26</v>
      </c>
      <c r="O51" s="278">
        <f>((O20*C51)+(Q20*D51))/12</f>
        <v>0.26</v>
      </c>
      <c r="Q51" s="278">
        <f>Q20</f>
        <v>0.26</v>
      </c>
    </row>
    <row r="52" spans="2:17" ht="15.75">
      <c r="B52" s="212" t="s">
        <v>79</v>
      </c>
      <c r="C52" s="283">
        <f>$C$38</f>
        <v>12</v>
      </c>
      <c r="D52" s="283">
        <f>12-C52</f>
        <v>0</v>
      </c>
      <c r="E52" s="278">
        <f>IF($E$3="FY18",E21,IF($E$3="FY19",G21,IF($E$3="FY20",I21,IF($E$3="FY21",K21,IF($E$3="FY22",M21,IF($E$3="FY23",O21,IF($E$3="FY24",Q21,0)))))))</f>
        <v>0.26</v>
      </c>
      <c r="F52" s="278"/>
      <c r="G52" s="278">
        <f>((G21*C52)+(I21*D52))/12</f>
        <v>0.26</v>
      </c>
      <c r="H52" s="278"/>
      <c r="I52" s="278">
        <f>((I21*C52)+(K21*D52))/12</f>
        <v>0.26</v>
      </c>
      <c r="K52" s="278">
        <f>((K21*C52)+(M21*D52))/12</f>
        <v>0.26</v>
      </c>
      <c r="M52" s="278">
        <f>((M21*C52)+(O21*D52))/12</f>
        <v>0.26</v>
      </c>
      <c r="O52" s="278">
        <f>((O21*C52)+(Q21*D52))/12</f>
        <v>0.26</v>
      </c>
      <c r="Q52" s="278">
        <f>Q21</f>
        <v>0.26</v>
      </c>
    </row>
    <row r="53" spans="2:17" ht="15.75">
      <c r="B53" s="212" t="s">
        <v>80</v>
      </c>
      <c r="C53" s="283">
        <f>$C$38</f>
        <v>12</v>
      </c>
      <c r="D53" s="283">
        <f>12-C53</f>
        <v>0</v>
      </c>
      <c r="E53" s="278">
        <f>IF($E$3="FY18",E22,IF($E$3="FY19",G22,IF($E$3="FY20",I22,IF($E$3="FY21",K22,IF($E$3="FY22",M22,IF($E$3="FY23",O22,IF($E$3="FY24",Q22,0)))))))</f>
        <v>0.26</v>
      </c>
      <c r="F53" s="278"/>
      <c r="G53" s="278">
        <f>((G22*C53)+(I22*D53))/12</f>
        <v>0.26</v>
      </c>
      <c r="H53" s="278"/>
      <c r="I53" s="278">
        <f>((I22*C53)+(K22*D53))/12</f>
        <v>0.26</v>
      </c>
      <c r="K53" s="278">
        <f>((K22*C53)+(M22*D53))/12</f>
        <v>0.26</v>
      </c>
      <c r="M53" s="278">
        <f>((M22*C53)+(O22*D53))/12</f>
        <v>0.26</v>
      </c>
      <c r="O53" s="278">
        <f>((O22*C53)+(Q22*D53))/12</f>
        <v>0.26</v>
      </c>
      <c r="Q53" s="278">
        <f>Q22</f>
        <v>0.26</v>
      </c>
    </row>
    <row r="54" spans="5:17" ht="15.75">
      <c r="E54" s="214"/>
      <c r="F54" s="214"/>
      <c r="G54" s="214"/>
      <c r="H54" s="214"/>
      <c r="I54" s="214"/>
      <c r="J54" s="214"/>
      <c r="K54" s="214"/>
      <c r="L54" s="214"/>
      <c r="M54" s="214"/>
      <c r="N54" s="214"/>
      <c r="O54" s="214"/>
      <c r="P54" s="214"/>
      <c r="Q54" s="214"/>
    </row>
    <row r="63" ht="18.75">
      <c r="N63" s="226" t="s">
        <v>245</v>
      </c>
    </row>
  </sheetData>
  <sheetProtection/>
  <mergeCells count="1">
    <mergeCell ref="X14:AJ14"/>
  </mergeCells>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71" r:id="rId1"/>
</worksheet>
</file>

<file path=xl/worksheets/sheet4.xml><?xml version="1.0" encoding="utf-8"?>
<worksheet xmlns="http://schemas.openxmlformats.org/spreadsheetml/2006/main" xmlns:r="http://schemas.openxmlformats.org/officeDocument/2006/relationships">
  <dimension ref="A1:I41"/>
  <sheetViews>
    <sheetView zoomScalePageLayoutView="0" workbookViewId="0" topLeftCell="A1">
      <selection activeCell="H42" sqref="H42"/>
    </sheetView>
  </sheetViews>
  <sheetFormatPr defaultColWidth="9.00390625" defaultRowHeight="12.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44"/>
      <c r="B1" s="244"/>
      <c r="C1" s="244"/>
      <c r="D1" s="244"/>
      <c r="E1" s="245" t="s">
        <v>94</v>
      </c>
      <c r="F1" s="246"/>
      <c r="G1" s="247" t="s">
        <v>95</v>
      </c>
      <c r="H1" s="247" t="s">
        <v>96</v>
      </c>
      <c r="I1" s="247" t="s">
        <v>190</v>
      </c>
    </row>
    <row r="2" spans="1:9" ht="15.75">
      <c r="A2" s="208" t="s">
        <v>216</v>
      </c>
      <c r="B2" s="244"/>
      <c r="C2" s="244"/>
      <c r="D2" s="244"/>
      <c r="E2" s="246"/>
      <c r="F2" s="244"/>
      <c r="G2" s="248"/>
      <c r="H2" s="244"/>
      <c r="I2" s="239"/>
    </row>
    <row r="3" spans="1:9" ht="15.75" customHeight="1" hidden="1">
      <c r="A3" s="244"/>
      <c r="B3" s="244"/>
      <c r="C3" s="244"/>
      <c r="D3" s="244"/>
      <c r="E3" s="249" t="s">
        <v>97</v>
      </c>
      <c r="F3" s="249"/>
      <c r="G3" s="240">
        <v>125900</v>
      </c>
      <c r="H3" s="240">
        <v>77476.92307692302</v>
      </c>
      <c r="I3" s="240">
        <v>33896.15384615382</v>
      </c>
    </row>
    <row r="4" spans="1:9" ht="15.75" customHeight="1" hidden="1">
      <c r="A4" s="250" t="s">
        <v>98</v>
      </c>
      <c r="B4" s="251"/>
      <c r="C4" s="228">
        <v>62.6</v>
      </c>
      <c r="D4" s="228"/>
      <c r="E4" s="249" t="s">
        <v>99</v>
      </c>
      <c r="F4" s="249"/>
      <c r="G4" s="240">
        <v>130200</v>
      </c>
      <c r="H4" s="240">
        <v>80123.07692307686</v>
      </c>
      <c r="I4" s="240">
        <v>35053.84615384613</v>
      </c>
    </row>
    <row r="5" spans="1:9" ht="15.75" customHeight="1" hidden="1">
      <c r="A5" s="244"/>
      <c r="B5" s="244"/>
      <c r="C5" s="244"/>
      <c r="D5" s="244"/>
      <c r="E5" s="249"/>
      <c r="F5" s="249"/>
      <c r="G5" s="240"/>
      <c r="H5" s="240"/>
      <c r="I5" s="240"/>
    </row>
    <row r="6" spans="1:9" ht="15.75" customHeight="1" hidden="1">
      <c r="A6" s="244"/>
      <c r="B6" s="244"/>
      <c r="C6" s="244"/>
      <c r="D6" s="244"/>
      <c r="E6" s="246" t="s">
        <v>100</v>
      </c>
      <c r="F6" s="249"/>
      <c r="G6" s="240"/>
      <c r="H6" s="240"/>
      <c r="I6" s="240"/>
    </row>
    <row r="7" spans="1:9" ht="15.75" customHeight="1" hidden="1">
      <c r="A7" s="250" t="s">
        <v>101</v>
      </c>
      <c r="B7" s="251"/>
      <c r="C7" s="228">
        <v>65.72</v>
      </c>
      <c r="D7" s="228"/>
      <c r="E7" s="249" t="s">
        <v>102</v>
      </c>
      <c r="F7" s="249"/>
      <c r="G7" s="240">
        <v>136700</v>
      </c>
      <c r="H7" s="240">
        <v>84123.07692307686</v>
      </c>
      <c r="I7" s="240">
        <v>36803.84615384613</v>
      </c>
    </row>
    <row r="8" spans="1:9" ht="15.75" customHeight="1" hidden="1">
      <c r="A8" s="250" t="s">
        <v>103</v>
      </c>
      <c r="B8" s="251"/>
      <c r="C8" s="228">
        <v>67.93</v>
      </c>
      <c r="D8" s="228"/>
      <c r="E8" s="249" t="s">
        <v>99</v>
      </c>
      <c r="F8" s="249"/>
      <c r="G8" s="240">
        <v>141300</v>
      </c>
      <c r="H8" s="240">
        <v>86953.8461538461</v>
      </c>
      <c r="I8" s="240">
        <v>38042.307692307666</v>
      </c>
    </row>
    <row r="9" spans="1:9" ht="15.75" customHeight="1" hidden="1">
      <c r="A9" s="250" t="s">
        <v>104</v>
      </c>
      <c r="B9" s="251"/>
      <c r="C9" s="304">
        <v>69.76</v>
      </c>
      <c r="D9" s="304"/>
      <c r="E9" s="249"/>
      <c r="F9" s="252"/>
      <c r="G9" s="253"/>
      <c r="H9" s="240"/>
      <c r="I9" s="240"/>
    </row>
    <row r="10" spans="1:9" ht="15.75" customHeight="1" hidden="1">
      <c r="A10" s="254"/>
      <c r="B10" s="254"/>
      <c r="C10" s="254"/>
      <c r="D10" s="254"/>
      <c r="E10" s="246" t="s">
        <v>105</v>
      </c>
      <c r="F10" s="255"/>
      <c r="G10" s="256"/>
      <c r="H10" s="240"/>
      <c r="I10" s="240"/>
    </row>
    <row r="11" spans="1:9" ht="15.75" customHeight="1" hidden="1">
      <c r="A11" s="250" t="s">
        <v>106</v>
      </c>
      <c r="B11" s="251"/>
      <c r="C11" s="228">
        <v>75.48</v>
      </c>
      <c r="D11" s="228"/>
      <c r="E11" s="249" t="s">
        <v>107</v>
      </c>
      <c r="F11" s="249"/>
      <c r="G11" s="240">
        <v>157000</v>
      </c>
      <c r="H11" s="240">
        <v>96615.38461538455</v>
      </c>
      <c r="I11" s="240">
        <v>42269.230769230744</v>
      </c>
    </row>
    <row r="12" spans="1:9" ht="15.75" customHeight="1" hidden="1">
      <c r="A12" s="250" t="s">
        <v>108</v>
      </c>
      <c r="B12" s="251"/>
      <c r="C12" s="228">
        <v>77.5</v>
      </c>
      <c r="D12" s="228"/>
      <c r="E12" s="249" t="s">
        <v>109</v>
      </c>
      <c r="F12" s="249"/>
      <c r="G12" s="240">
        <v>161200</v>
      </c>
      <c r="H12" s="240">
        <v>99199.99999999993</v>
      </c>
      <c r="I12" s="240">
        <v>43399.99999999997</v>
      </c>
    </row>
    <row r="13" spans="1:9" ht="15.75" customHeight="1" hidden="1">
      <c r="A13" s="250" t="s">
        <v>110</v>
      </c>
      <c r="B13" s="251"/>
      <c r="C13" s="228">
        <v>80.14</v>
      </c>
      <c r="D13" s="228"/>
      <c r="E13" s="249" t="s">
        <v>111</v>
      </c>
      <c r="F13" s="257"/>
      <c r="G13" s="240">
        <v>166700</v>
      </c>
      <c r="H13" s="240">
        <v>102584.61538461532</v>
      </c>
      <c r="I13" s="240">
        <v>44880.769230769205</v>
      </c>
    </row>
    <row r="14" spans="1:9" ht="15.75" customHeight="1" hidden="1">
      <c r="A14" s="250" t="s">
        <v>112</v>
      </c>
      <c r="B14" s="251"/>
      <c r="C14" s="228">
        <v>82.64</v>
      </c>
      <c r="D14" s="228"/>
      <c r="E14" s="249" t="s">
        <v>113</v>
      </c>
      <c r="F14" s="257"/>
      <c r="G14" s="240">
        <v>171900</v>
      </c>
      <c r="H14" s="240">
        <v>105784.61538461532</v>
      </c>
      <c r="I14" s="240">
        <v>46280.769230769205</v>
      </c>
    </row>
    <row r="15" spans="1:9" ht="15.75" customHeight="1" hidden="1">
      <c r="A15" s="250" t="s">
        <v>114</v>
      </c>
      <c r="B15" s="251"/>
      <c r="C15" s="228">
        <v>83.89</v>
      </c>
      <c r="D15" s="228"/>
      <c r="E15" s="249" t="s">
        <v>115</v>
      </c>
      <c r="F15" s="257"/>
      <c r="G15" s="240">
        <v>174500</v>
      </c>
      <c r="H15" s="240">
        <v>107384.61538461532</v>
      </c>
      <c r="I15" s="240">
        <v>46980.769230769205</v>
      </c>
    </row>
    <row r="16" spans="1:9" ht="15.75" customHeight="1" hidden="1">
      <c r="A16" s="250" t="s">
        <v>114</v>
      </c>
      <c r="B16" s="251"/>
      <c r="C16" s="228">
        <v>84.47</v>
      </c>
      <c r="D16" s="228"/>
      <c r="E16" s="249" t="s">
        <v>116</v>
      </c>
      <c r="F16" s="257"/>
      <c r="G16" s="240">
        <v>175700</v>
      </c>
      <c r="H16" s="240">
        <v>108123.07692307685</v>
      </c>
      <c r="I16" s="240">
        <v>47303.84615384612</v>
      </c>
    </row>
    <row r="17" spans="1:9" ht="15.75" customHeight="1" hidden="1">
      <c r="A17" s="258"/>
      <c r="B17" s="258"/>
      <c r="C17" s="258"/>
      <c r="D17" s="258"/>
      <c r="E17" s="258"/>
      <c r="F17" s="258"/>
      <c r="G17" s="258"/>
      <c r="H17" s="258"/>
      <c r="I17" s="240"/>
    </row>
    <row r="18" spans="1:9" ht="15.75" customHeight="1" hidden="1">
      <c r="A18" s="250" t="s">
        <v>117</v>
      </c>
      <c r="B18" s="251"/>
      <c r="C18" s="228">
        <v>86.59</v>
      </c>
      <c r="D18" s="228"/>
      <c r="E18" s="249" t="s">
        <v>118</v>
      </c>
      <c r="F18" s="257"/>
      <c r="G18" s="240">
        <v>180100</v>
      </c>
      <c r="H18" s="240">
        <v>110830.76923076916</v>
      </c>
      <c r="I18" s="240">
        <v>48488.46153846151</v>
      </c>
    </row>
    <row r="19" spans="1:9" ht="15.75" customHeight="1" hidden="1">
      <c r="A19" s="250" t="s">
        <v>145</v>
      </c>
      <c r="B19" s="251"/>
      <c r="C19" s="228">
        <v>88.22</v>
      </c>
      <c r="D19" s="228"/>
      <c r="E19" s="249" t="s">
        <v>146</v>
      </c>
      <c r="F19" s="257"/>
      <c r="G19" s="240">
        <v>183500</v>
      </c>
      <c r="H19" s="240">
        <v>112923.07692307685</v>
      </c>
      <c r="I19" s="240">
        <v>49403.84615384612</v>
      </c>
    </row>
    <row r="20" spans="1:9" ht="15.75" customHeight="1" hidden="1">
      <c r="A20" s="250" t="s">
        <v>167</v>
      </c>
      <c r="B20" s="251"/>
      <c r="C20" s="228">
        <v>89.71</v>
      </c>
      <c r="D20" s="228"/>
      <c r="E20" s="249" t="s">
        <v>168</v>
      </c>
      <c r="F20" s="257"/>
      <c r="G20" s="240">
        <v>186600</v>
      </c>
      <c r="H20" s="240">
        <v>114830.76923076916</v>
      </c>
      <c r="I20" s="240">
        <v>50238.46153846151</v>
      </c>
    </row>
    <row r="21" spans="1:9" ht="15.75" hidden="1">
      <c r="A21" s="250"/>
      <c r="B21" s="238"/>
      <c r="C21" s="228">
        <v>91.97</v>
      </c>
      <c r="D21" s="228"/>
      <c r="E21" s="249" t="s">
        <v>211</v>
      </c>
      <c r="F21" s="257"/>
      <c r="G21" s="240">
        <v>191300</v>
      </c>
      <c r="H21" s="202">
        <f aca="true" t="shared" si="0" ref="H21:H26">G21*0.615384615384615</f>
        <v>117723.07692307685</v>
      </c>
      <c r="I21" s="231">
        <f aca="true" t="shared" si="1" ref="I21:I26">+H21*0.4375</f>
        <v>51503.84615384612</v>
      </c>
    </row>
    <row r="22" spans="1:9" ht="15.75" hidden="1">
      <c r="A22" s="250"/>
      <c r="B22" s="238"/>
      <c r="C22" s="228">
        <v>94.57</v>
      </c>
      <c r="D22" s="228"/>
      <c r="E22" s="249" t="s">
        <v>212</v>
      </c>
      <c r="F22" s="257"/>
      <c r="G22" s="240">
        <v>196700</v>
      </c>
      <c r="H22" s="202">
        <f t="shared" si="0"/>
        <v>121046.15384615377</v>
      </c>
      <c r="I22" s="231">
        <f t="shared" si="1"/>
        <v>52957.692307692276</v>
      </c>
    </row>
    <row r="23" spans="1:9" ht="15.75" hidden="1">
      <c r="A23" s="250"/>
      <c r="B23" s="238"/>
      <c r="C23" s="228">
        <v>96.01</v>
      </c>
      <c r="D23" s="228"/>
      <c r="E23" s="249" t="s">
        <v>213</v>
      </c>
      <c r="F23" s="257"/>
      <c r="G23" s="240">
        <v>199700</v>
      </c>
      <c r="H23" s="202">
        <f t="shared" si="0"/>
        <v>122892.30769230762</v>
      </c>
      <c r="I23" s="231">
        <f t="shared" si="1"/>
        <v>53765.38461538458</v>
      </c>
    </row>
    <row r="24" spans="1:9" s="203" customFormat="1" ht="15.75" hidden="1">
      <c r="A24" s="237"/>
      <c r="B24" s="238"/>
      <c r="C24" s="228">
        <v>86.39</v>
      </c>
      <c r="D24" s="228"/>
      <c r="E24" s="229" t="s">
        <v>225</v>
      </c>
      <c r="F24" s="230"/>
      <c r="G24" s="231">
        <v>179700</v>
      </c>
      <c r="H24" s="202">
        <f t="shared" si="0"/>
        <v>110584.61538461532</v>
      </c>
      <c r="I24" s="231">
        <f t="shared" si="1"/>
        <v>48380.769230769205</v>
      </c>
    </row>
    <row r="25" spans="1:9" s="203" customFormat="1" ht="15.75" hidden="1">
      <c r="A25" s="237"/>
      <c r="B25" s="238"/>
      <c r="C25" s="228">
        <v>87.26</v>
      </c>
      <c r="D25" s="228"/>
      <c r="E25" s="229" t="s">
        <v>214</v>
      </c>
      <c r="F25" s="230"/>
      <c r="G25" s="231">
        <v>181500</v>
      </c>
      <c r="H25" s="202">
        <f t="shared" si="0"/>
        <v>111692.30769230762</v>
      </c>
      <c r="I25" s="231">
        <f t="shared" si="1"/>
        <v>48865.38461538458</v>
      </c>
    </row>
    <row r="26" spans="1:9" s="203" customFormat="1" ht="15.75" hidden="1">
      <c r="A26" s="237"/>
      <c r="B26" s="238"/>
      <c r="C26" s="228">
        <f aca="true" t="shared" si="2" ref="C26:C32">SUM((G26/52)/40)</f>
        <v>88.125</v>
      </c>
      <c r="D26" s="228"/>
      <c r="E26" s="229" t="s">
        <v>215</v>
      </c>
      <c r="F26" s="230"/>
      <c r="G26" s="231">
        <v>183300</v>
      </c>
      <c r="H26" s="202">
        <f t="shared" si="0"/>
        <v>112799.99999999993</v>
      </c>
      <c r="I26" s="231">
        <f t="shared" si="1"/>
        <v>49349.99999999997</v>
      </c>
    </row>
    <row r="27" spans="1:9" ht="15.75">
      <c r="A27" s="237"/>
      <c r="B27" s="238"/>
      <c r="C27" s="228">
        <f t="shared" si="2"/>
        <v>92.45192307692307</v>
      </c>
      <c r="D27" s="228"/>
      <c r="E27" s="249" t="s">
        <v>226</v>
      </c>
      <c r="F27" s="230"/>
      <c r="G27" s="240">
        <v>192300</v>
      </c>
      <c r="H27" s="202">
        <f>G27*0.615384615384615</f>
        <v>118338.46153846146</v>
      </c>
      <c r="I27" s="231">
        <f aca="true" t="shared" si="3" ref="I27:I32">+H27*0.4375</f>
        <v>51773.076923076886</v>
      </c>
    </row>
    <row r="28" spans="1:9" ht="15.75">
      <c r="A28" s="237"/>
      <c r="B28" s="238"/>
      <c r="C28" s="228">
        <f t="shared" si="2"/>
        <v>94.85576923076923</v>
      </c>
      <c r="D28" s="228"/>
      <c r="E28" s="249" t="s">
        <v>229</v>
      </c>
      <c r="F28" s="230"/>
      <c r="G28" s="240">
        <v>197300</v>
      </c>
      <c r="H28" s="202">
        <f>G28*0.615384615384615</f>
        <v>121415.38461538454</v>
      </c>
      <c r="I28" s="231">
        <f t="shared" si="3"/>
        <v>53119.23076923074</v>
      </c>
    </row>
    <row r="29" spans="1:9" ht="15.75">
      <c r="A29" s="237"/>
      <c r="B29" s="238"/>
      <c r="C29" s="228">
        <f t="shared" si="2"/>
        <v>95.8173076923077</v>
      </c>
      <c r="D29" s="228"/>
      <c r="E29" s="249" t="s">
        <v>235</v>
      </c>
      <c r="F29" s="230"/>
      <c r="G29" s="240">
        <v>199300</v>
      </c>
      <c r="H29" s="202">
        <f>G29*0.695652174</f>
        <v>138643.4782782</v>
      </c>
      <c r="I29" s="231">
        <f t="shared" si="3"/>
        <v>60656.5217467125</v>
      </c>
    </row>
    <row r="30" spans="1:9" ht="15.75">
      <c r="A30" s="237"/>
      <c r="B30" s="238"/>
      <c r="C30" s="228">
        <f t="shared" si="2"/>
        <v>97.9326923076923</v>
      </c>
      <c r="D30" s="228"/>
      <c r="E30" s="249" t="s">
        <v>236</v>
      </c>
      <c r="F30" s="230"/>
      <c r="G30" s="240">
        <v>203700</v>
      </c>
      <c r="H30" s="202">
        <f>G30*0.695652174</f>
        <v>141704.3478438</v>
      </c>
      <c r="I30" s="231">
        <f t="shared" si="3"/>
        <v>61995.6521816625</v>
      </c>
    </row>
    <row r="31" spans="1:9" ht="15.75">
      <c r="A31" s="237"/>
      <c r="B31" s="238"/>
      <c r="C31" s="228">
        <f t="shared" si="2"/>
        <v>101.97115384615384</v>
      </c>
      <c r="D31" s="228"/>
      <c r="E31" s="249" t="s">
        <v>241</v>
      </c>
      <c r="F31" s="230"/>
      <c r="G31" s="240">
        <v>212100</v>
      </c>
      <c r="H31" s="202">
        <f>G31*0.695652174</f>
        <v>147547.8261054</v>
      </c>
      <c r="I31" s="231">
        <f t="shared" si="3"/>
        <v>64552.173921112495</v>
      </c>
    </row>
    <row r="32" spans="1:9" ht="15.75">
      <c r="A32" s="237"/>
      <c r="B32" s="238"/>
      <c r="C32" s="228">
        <f t="shared" si="2"/>
        <v>106.6826923076923</v>
      </c>
      <c r="D32" s="228"/>
      <c r="E32" s="249" t="s">
        <v>242</v>
      </c>
      <c r="F32" s="230"/>
      <c r="G32" s="240">
        <v>221900</v>
      </c>
      <c r="H32" s="202">
        <f>G32*0.695652174</f>
        <v>154365.21741060002</v>
      </c>
      <c r="I32" s="231">
        <f t="shared" si="3"/>
        <v>67534.7826171375</v>
      </c>
    </row>
    <row r="33" spans="1:2" ht="15.75">
      <c r="A33" s="237"/>
      <c r="B33" s="238"/>
    </row>
    <row r="34" spans="1:9" ht="12" customHeight="1">
      <c r="A34" s="239"/>
      <c r="B34" s="239"/>
      <c r="C34" s="239"/>
      <c r="D34" s="239"/>
      <c r="E34" s="239"/>
      <c r="F34" s="239"/>
      <c r="G34" s="239"/>
      <c r="H34" s="239"/>
      <c r="I34" s="240"/>
    </row>
    <row r="35" spans="1:9" ht="12">
      <c r="A35" s="305" t="s">
        <v>141</v>
      </c>
      <c r="B35" s="306"/>
      <c r="C35" s="306"/>
      <c r="D35" s="306"/>
      <c r="E35" s="306"/>
      <c r="F35" s="306"/>
      <c r="G35" s="307" t="s">
        <v>191</v>
      </c>
      <c r="H35" s="307"/>
      <c r="I35" s="296">
        <f>H29+I29</f>
        <v>199300.0000249125</v>
      </c>
    </row>
    <row r="36" spans="1:9" ht="17.25" customHeight="1">
      <c r="A36" s="306"/>
      <c r="B36" s="306"/>
      <c r="C36" s="306"/>
      <c r="D36" s="306"/>
      <c r="E36" s="306"/>
      <c r="F36" s="306"/>
      <c r="G36" s="308"/>
      <c r="H36" s="308"/>
      <c r="I36" s="297"/>
    </row>
    <row r="37" spans="1:9" ht="12">
      <c r="A37" s="306"/>
      <c r="B37" s="306"/>
      <c r="C37" s="306"/>
      <c r="D37" s="306"/>
      <c r="E37" s="306"/>
      <c r="F37" s="306"/>
      <c r="G37" s="308"/>
      <c r="H37" s="308"/>
      <c r="I37" s="297"/>
    </row>
    <row r="38" spans="1:5" ht="12" customHeight="1">
      <c r="A38" s="242"/>
      <c r="B38" s="243"/>
      <c r="C38" s="243"/>
      <c r="D38" s="259"/>
      <c r="E38" s="260"/>
    </row>
    <row r="39" spans="1:9" ht="12.75" customHeight="1">
      <c r="A39" s="298" t="s">
        <v>119</v>
      </c>
      <c r="B39" s="299"/>
      <c r="C39" s="299"/>
      <c r="D39" s="300"/>
      <c r="E39" s="301"/>
      <c r="F39" s="239"/>
      <c r="G39" s="239"/>
      <c r="H39" s="239"/>
      <c r="I39" s="239"/>
    </row>
    <row r="40" spans="1:9" ht="12.75" customHeight="1">
      <c r="A40" s="239"/>
      <c r="B40" s="239"/>
      <c r="C40" s="239"/>
      <c r="D40" s="261"/>
      <c r="E40" s="261"/>
      <c r="F40" s="239"/>
      <c r="G40" s="239"/>
      <c r="H40" s="239"/>
      <c r="I40" s="239"/>
    </row>
    <row r="41" spans="1:9" ht="15.75">
      <c r="A41" s="239"/>
      <c r="B41" s="239"/>
      <c r="C41" s="262" t="s">
        <v>120</v>
      </c>
      <c r="D41" s="302">
        <f>D39/33*14</f>
        <v>0</v>
      </c>
      <c r="E41" s="302"/>
      <c r="F41" s="239"/>
      <c r="G41" s="239"/>
      <c r="H41" s="303" t="s">
        <v>243</v>
      </c>
      <c r="I41" s="303"/>
    </row>
  </sheetData>
  <sheetProtection/>
  <mergeCells count="8">
    <mergeCell ref="I35:I37"/>
    <mergeCell ref="A39:C39"/>
    <mergeCell ref="D39:E39"/>
    <mergeCell ref="D41:E41"/>
    <mergeCell ref="H41:I41"/>
    <mergeCell ref="C9:D9"/>
    <mergeCell ref="A35:F37"/>
    <mergeCell ref="G35:H37"/>
  </mergeCells>
  <conditionalFormatting sqref="A4 A7:A9 A11:A16 A18:A24">
    <cfRule type="cellIs" priority="4" dxfId="10" operator="greaterThan" stopIfTrue="1">
      <formula>$L$4</formula>
    </cfRule>
  </conditionalFormatting>
  <conditionalFormatting sqref="A24">
    <cfRule type="cellIs" priority="3" dxfId="10" operator="greaterThan" stopIfTrue="1">
      <formula>$L$4</formula>
    </cfRule>
  </conditionalFormatting>
  <conditionalFormatting sqref="A25:A26">
    <cfRule type="cellIs" priority="2" dxfId="10" operator="greaterThan" stopIfTrue="1">
      <formula>$L$4</formula>
    </cfRule>
  </conditionalFormatting>
  <conditionalFormatting sqref="A25:A26">
    <cfRule type="cellIs" priority="1" dxfId="10" operator="greaterThan" stopIfTrue="1">
      <formula>$L$4</formula>
    </cfRule>
  </conditionalFormatting>
  <printOptions horizontalCentered="1"/>
  <pageMargins left="0.75" right="0.75" top="0.65" bottom="0.67"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1:R43"/>
  <sheetViews>
    <sheetView showGridLines="0" zoomScalePageLayoutView="0" workbookViewId="0" topLeftCell="A1">
      <selection activeCell="S5" sqref="S5"/>
    </sheetView>
  </sheetViews>
  <sheetFormatPr defaultColWidth="8.875" defaultRowHeight="12.75"/>
  <cols>
    <col min="1" max="6" width="8.875" style="79" customWidth="1"/>
    <col min="7" max="8" width="10.50390625" style="79" customWidth="1"/>
    <col min="9" max="9" width="4.50390625" style="79" customWidth="1"/>
    <col min="10" max="11" width="10.50390625" style="79" customWidth="1"/>
    <col min="12" max="12" width="4.50390625" style="79" customWidth="1"/>
    <col min="13" max="16" width="10.50390625" style="79" customWidth="1"/>
    <col min="17" max="17" width="4.50390625" style="79" customWidth="1"/>
    <col min="18" max="19" width="10.50390625" style="79" customWidth="1"/>
    <col min="20" max="16384" width="8.875" style="79" customWidth="1"/>
  </cols>
  <sheetData>
    <row r="1" spans="8:17" ht="12">
      <c r="H1" s="80" t="s">
        <v>172</v>
      </c>
      <c r="K1" s="81"/>
      <c r="L1" s="81"/>
      <c r="P1" s="80"/>
      <c r="Q1" s="82"/>
    </row>
    <row r="2" spans="8:17" ht="12">
      <c r="H2" s="80" t="s">
        <v>173</v>
      </c>
      <c r="K2" s="81"/>
      <c r="L2" s="81"/>
      <c r="M2" s="81"/>
      <c r="O2" s="80"/>
      <c r="P2" s="80"/>
      <c r="Q2" s="82"/>
    </row>
    <row r="6" spans="1:14" ht="12">
      <c r="A6" s="309" t="s">
        <v>174</v>
      </c>
      <c r="B6" s="309"/>
      <c r="C6" s="83"/>
      <c r="D6" s="309" t="s">
        <v>175</v>
      </c>
      <c r="E6" s="314"/>
      <c r="F6" s="84"/>
      <c r="G6" s="309" t="s">
        <v>176</v>
      </c>
      <c r="H6" s="309"/>
      <c r="I6" s="85"/>
      <c r="J6" s="312"/>
      <c r="K6" s="312"/>
      <c r="L6" s="81"/>
      <c r="M6" s="312"/>
      <c r="N6" s="312"/>
    </row>
    <row r="7" spans="1:14" ht="12">
      <c r="A7" s="310" t="s">
        <v>177</v>
      </c>
      <c r="B7" s="310"/>
      <c r="C7" s="83"/>
      <c r="D7" s="310" t="s">
        <v>178</v>
      </c>
      <c r="E7" s="311"/>
      <c r="F7" s="84"/>
      <c r="G7" s="310" t="s">
        <v>179</v>
      </c>
      <c r="H7" s="311"/>
      <c r="I7" s="86"/>
      <c r="J7" s="312"/>
      <c r="K7" s="312"/>
      <c r="L7" s="264"/>
      <c r="M7" s="312"/>
      <c r="N7" s="312"/>
    </row>
    <row r="8" spans="1:14" ht="12">
      <c r="A8" s="86"/>
      <c r="B8" s="86"/>
      <c r="C8" s="86"/>
      <c r="D8" s="86"/>
      <c r="E8" s="84"/>
      <c r="F8" s="84"/>
      <c r="G8" s="86"/>
      <c r="H8" s="86"/>
      <c r="I8" s="86"/>
      <c r="J8" s="264"/>
      <c r="K8" s="264"/>
      <c r="L8" s="264"/>
      <c r="M8" s="264"/>
      <c r="N8" s="264"/>
    </row>
    <row r="9" spans="1:14" ht="12">
      <c r="A9" s="87" t="s">
        <v>180</v>
      </c>
      <c r="B9" s="87" t="s">
        <v>181</v>
      </c>
      <c r="C9" s="85"/>
      <c r="D9" s="87" t="s">
        <v>182</v>
      </c>
      <c r="E9" s="87" t="s">
        <v>183</v>
      </c>
      <c r="F9" s="84"/>
      <c r="G9" s="87" t="s">
        <v>184</v>
      </c>
      <c r="H9" s="87" t="s">
        <v>185</v>
      </c>
      <c r="I9" s="85"/>
      <c r="J9" s="265"/>
      <c r="K9" s="265"/>
      <c r="L9" s="81"/>
      <c r="M9" s="265"/>
      <c r="N9" s="265"/>
    </row>
    <row r="10" spans="3:7" ht="12">
      <c r="C10" s="88"/>
      <c r="E10" s="88"/>
      <c r="F10" s="88"/>
      <c r="G10" s="88"/>
    </row>
    <row r="11" spans="1:14" ht="12">
      <c r="A11" s="89">
        <v>1</v>
      </c>
      <c r="B11" s="90">
        <f>15.65*A11/4.3333</f>
        <v>3.6115662428172524</v>
      </c>
      <c r="C11" s="266"/>
      <c r="D11" s="89">
        <f>A11</f>
        <v>1</v>
      </c>
      <c r="E11" s="90">
        <f>36.35*D11/4.3333</f>
        <v>8.38852606558512</v>
      </c>
      <c r="G11" s="91">
        <f>A11</f>
        <v>1</v>
      </c>
      <c r="H11" s="90">
        <f>52*G11/4.3333</f>
        <v>12.00009230840237</v>
      </c>
      <c r="I11" s="89"/>
      <c r="J11" s="267"/>
      <c r="K11" s="268"/>
      <c r="L11" s="269"/>
      <c r="M11" s="267"/>
      <c r="N11" s="266"/>
    </row>
    <row r="12" spans="1:14" ht="12.75" thickBot="1">
      <c r="A12" s="270"/>
      <c r="B12" s="271"/>
      <c r="C12" s="92"/>
      <c r="D12" s="270"/>
      <c r="E12" s="93"/>
      <c r="F12" s="93"/>
      <c r="G12" s="270"/>
      <c r="H12" s="271"/>
      <c r="I12" s="270"/>
      <c r="J12" s="272"/>
      <c r="K12" s="272"/>
      <c r="L12" s="272"/>
      <c r="M12" s="272"/>
      <c r="N12" s="273"/>
    </row>
    <row r="13" spans="8:18" ht="12">
      <c r="H13" s="94"/>
      <c r="N13" s="94"/>
      <c r="R13" s="94"/>
    </row>
    <row r="14" spans="1:16" ht="12">
      <c r="A14" s="95" t="s">
        <v>186</v>
      </c>
      <c r="B14" s="96"/>
      <c r="C14" s="96"/>
      <c r="D14" s="96"/>
      <c r="E14" s="96"/>
      <c r="F14" s="96"/>
      <c r="G14" s="95"/>
      <c r="H14" s="95"/>
      <c r="I14" s="95"/>
      <c r="J14" s="95"/>
      <c r="K14" s="96"/>
      <c r="L14" s="96"/>
      <c r="M14" s="95"/>
      <c r="N14" s="95"/>
      <c r="O14" s="96"/>
      <c r="P14" s="95"/>
    </row>
    <row r="15" spans="1:16" ht="12">
      <c r="A15" s="95"/>
      <c r="B15" s="96"/>
      <c r="C15" s="96"/>
      <c r="D15" s="96"/>
      <c r="E15" s="96"/>
      <c r="F15" s="96"/>
      <c r="G15" s="95"/>
      <c r="H15" s="95"/>
      <c r="I15" s="95"/>
      <c r="J15" s="95"/>
      <c r="K15" s="96"/>
      <c r="L15" s="96"/>
      <c r="M15" s="95"/>
      <c r="N15" s="95"/>
      <c r="O15" s="96"/>
      <c r="P15" s="95"/>
    </row>
    <row r="16" spans="1:16" ht="12">
      <c r="A16" s="95" t="s">
        <v>187</v>
      </c>
      <c r="B16" s="96"/>
      <c r="C16" s="96"/>
      <c r="D16" s="96"/>
      <c r="E16" s="96"/>
      <c r="F16" s="96"/>
      <c r="G16" s="95"/>
      <c r="H16" s="95"/>
      <c r="I16" s="95"/>
      <c r="J16" s="95"/>
      <c r="K16" s="96"/>
      <c r="L16" s="96"/>
      <c r="M16" s="95"/>
      <c r="N16" s="95"/>
      <c r="O16" s="96"/>
      <c r="P16" s="95"/>
    </row>
    <row r="17" spans="1:16" ht="12">
      <c r="A17" s="95" t="s">
        <v>188</v>
      </c>
      <c r="B17" s="96"/>
      <c r="C17" s="96"/>
      <c r="D17" s="96"/>
      <c r="E17" s="96"/>
      <c r="F17" s="96"/>
      <c r="G17" s="95"/>
      <c r="H17" s="95"/>
      <c r="I17" s="95"/>
      <c r="J17" s="95"/>
      <c r="K17" s="96"/>
      <c r="L17" s="96"/>
      <c r="M17" s="95"/>
      <c r="N17" s="95"/>
      <c r="O17" s="96"/>
      <c r="P17" s="95"/>
    </row>
    <row r="18" spans="2:15" ht="12">
      <c r="B18" s="94"/>
      <c r="C18" s="94"/>
      <c r="D18" s="94"/>
      <c r="E18" s="94"/>
      <c r="F18" s="94"/>
      <c r="K18" s="94"/>
      <c r="L18" s="94"/>
      <c r="O18" s="94"/>
    </row>
    <row r="19" spans="2:15" ht="12">
      <c r="B19" s="94"/>
      <c r="C19" s="94"/>
      <c r="D19" s="94"/>
      <c r="E19" s="94"/>
      <c r="F19" s="94"/>
      <c r="K19" s="94"/>
      <c r="L19" s="94"/>
      <c r="O19" s="94"/>
    </row>
    <row r="20" spans="1:15" ht="12">
      <c r="A20" s="97"/>
      <c r="K20" s="94"/>
      <c r="L20" s="94"/>
      <c r="O20" s="94"/>
    </row>
    <row r="21" spans="1:15" ht="12">
      <c r="A21" s="97"/>
      <c r="K21" s="94"/>
      <c r="L21" s="94"/>
      <c r="O21" s="94"/>
    </row>
    <row r="22" spans="1:15" ht="12">
      <c r="A22" s="97"/>
      <c r="K22" s="94"/>
      <c r="L22" s="94"/>
      <c r="O22" s="94"/>
    </row>
    <row r="23" spans="1:11" ht="12">
      <c r="A23" s="97"/>
      <c r="D23" s="97"/>
      <c r="E23" s="97"/>
      <c r="K23" s="94"/>
    </row>
    <row r="24" spans="1:11" ht="12">
      <c r="A24" s="97"/>
      <c r="D24" s="97"/>
      <c r="E24" s="97"/>
      <c r="K24" s="94"/>
    </row>
    <row r="25" spans="1:11" ht="12">
      <c r="A25" s="97"/>
      <c r="D25" s="97"/>
      <c r="E25" s="97"/>
      <c r="K25" s="94"/>
    </row>
    <row r="26" spans="1:15" ht="12">
      <c r="A26" s="97"/>
      <c r="K26" s="94"/>
      <c r="L26" s="94"/>
      <c r="O26" s="94"/>
    </row>
    <row r="27" spans="1:15" ht="12">
      <c r="A27" s="97"/>
      <c r="K27" s="94"/>
      <c r="L27" s="94"/>
      <c r="O27" s="94"/>
    </row>
    <row r="28" spans="1:15" ht="12">
      <c r="A28" s="97"/>
      <c r="K28" s="94"/>
      <c r="L28" s="94"/>
      <c r="O28" s="94"/>
    </row>
    <row r="29" spans="1:15" ht="12">
      <c r="A29" s="98"/>
      <c r="K29" s="94"/>
      <c r="L29" s="94"/>
      <c r="O29" s="94"/>
    </row>
    <row r="31" ht="12.75">
      <c r="C31" s="99"/>
    </row>
    <row r="32" ht="12.75">
      <c r="C32" s="99"/>
    </row>
    <row r="33" ht="12.75">
      <c r="C33" s="99"/>
    </row>
    <row r="34" spans="2:15" ht="12">
      <c r="B34" s="98"/>
      <c r="C34" s="98"/>
      <c r="D34" s="98"/>
      <c r="E34" s="98"/>
      <c r="F34" s="98"/>
      <c r="K34" s="94"/>
      <c r="L34" s="94"/>
      <c r="O34" s="94"/>
    </row>
    <row r="35" spans="1:12" ht="12.75">
      <c r="A35" s="98"/>
      <c r="C35" s="99"/>
      <c r="D35" s="99"/>
      <c r="E35" s="99"/>
      <c r="F35" s="100"/>
      <c r="G35" s="99"/>
      <c r="H35" s="99"/>
      <c r="I35" s="99"/>
      <c r="J35" s="99"/>
      <c r="K35" s="99"/>
      <c r="L35" s="94"/>
    </row>
    <row r="36" spans="1:11" ht="12.75">
      <c r="A36" s="98"/>
      <c r="C36" s="99"/>
      <c r="D36" s="99"/>
      <c r="E36" s="99"/>
      <c r="F36" s="99"/>
      <c r="G36" s="99"/>
      <c r="H36" s="99"/>
      <c r="I36" s="99"/>
      <c r="J36" s="99"/>
      <c r="K36" s="99"/>
    </row>
    <row r="37" spans="3:11" ht="12.75">
      <c r="C37" s="99"/>
      <c r="D37" s="99"/>
      <c r="E37" s="99"/>
      <c r="F37" s="99"/>
      <c r="G37" s="99"/>
      <c r="H37" s="99"/>
      <c r="I37" s="99"/>
      <c r="J37" s="99"/>
      <c r="K37" s="99"/>
    </row>
    <row r="40" spans="3:11" ht="12.75">
      <c r="C40" s="99"/>
      <c r="D40" s="99"/>
      <c r="E40" s="99"/>
      <c r="F40" s="99"/>
      <c r="G40" s="99"/>
      <c r="H40" s="99"/>
      <c r="I40" s="99"/>
      <c r="J40" s="99"/>
      <c r="K40" s="99"/>
    </row>
    <row r="41" spans="3:11" ht="12.75">
      <c r="C41" s="99"/>
      <c r="D41" s="99"/>
      <c r="E41" s="99"/>
      <c r="F41" s="99"/>
      <c r="G41" s="99"/>
      <c r="H41" s="99"/>
      <c r="I41" s="99"/>
      <c r="J41" s="99"/>
      <c r="K41" s="99"/>
    </row>
    <row r="42" spans="3:11" ht="12.75">
      <c r="C42" s="99"/>
      <c r="D42" s="99"/>
      <c r="E42" s="99"/>
      <c r="F42" s="99"/>
      <c r="G42" s="99"/>
      <c r="H42" s="99"/>
      <c r="I42" s="99"/>
      <c r="J42" s="99"/>
      <c r="K42" s="99"/>
    </row>
    <row r="43" spans="12:14" ht="15.75">
      <c r="L43" s="313"/>
      <c r="M43" s="313"/>
      <c r="N43" s="313"/>
    </row>
  </sheetData>
  <sheetProtection/>
  <mergeCells count="11">
    <mergeCell ref="D7:E7"/>
    <mergeCell ref="G6:H6"/>
    <mergeCell ref="G7:H7"/>
    <mergeCell ref="J6:K6"/>
    <mergeCell ref="J7:K7"/>
    <mergeCell ref="L43:N43"/>
    <mergeCell ref="A6:B6"/>
    <mergeCell ref="A7:B7"/>
    <mergeCell ref="M6:N6"/>
    <mergeCell ref="M7:N7"/>
    <mergeCell ref="D6:E6"/>
  </mergeCells>
  <printOptions/>
  <pageMargins left="0.5" right="0.3" top="1" bottom="1" header="0.5" footer="0.5"/>
  <pageSetup horizontalDpi="600" verticalDpi="600" orientation="landscape" scale="92"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C6" sqref="C6"/>
    </sheetView>
  </sheetViews>
  <sheetFormatPr defaultColWidth="10.00390625" defaultRowHeight="12.75"/>
  <cols>
    <col min="1" max="4" width="10.00390625" style="1" customWidth="1"/>
    <col min="5" max="6" width="10.875" style="1" customWidth="1"/>
    <col min="7" max="8" width="10.00390625" style="1" customWidth="1"/>
    <col min="9" max="9" width="10.875" style="1" customWidth="1"/>
    <col min="10" max="16384" width="10.00390625" style="1" customWidth="1"/>
  </cols>
  <sheetData>
    <row r="1" ht="15">
      <c r="B1" s="78" t="s">
        <v>54</v>
      </c>
    </row>
    <row r="2" spans="2:9" ht="15">
      <c r="B2" s="1" t="s">
        <v>56</v>
      </c>
      <c r="C2" s="1">
        <v>1</v>
      </c>
      <c r="E2" s="2" t="s">
        <v>62</v>
      </c>
      <c r="F2" s="3" t="s">
        <v>55</v>
      </c>
      <c r="H2" s="3" t="s">
        <v>169</v>
      </c>
      <c r="I2" s="1">
        <v>2012</v>
      </c>
    </row>
    <row r="3" spans="2:9" ht="15">
      <c r="B3" s="1" t="s">
        <v>57</v>
      </c>
      <c r="C3" s="1">
        <v>1.025</v>
      </c>
      <c r="E3" s="1" t="s">
        <v>221</v>
      </c>
      <c r="F3" s="1" t="s">
        <v>222</v>
      </c>
      <c r="H3" s="3" t="s">
        <v>170</v>
      </c>
      <c r="I3" s="3">
        <v>2013</v>
      </c>
    </row>
    <row r="4" spans="2:9" ht="15">
      <c r="B4" s="1" t="s">
        <v>58</v>
      </c>
      <c r="C4" s="1">
        <v>1.0275</v>
      </c>
      <c r="E4" s="2" t="s">
        <v>63</v>
      </c>
      <c r="F4" s="3" t="s">
        <v>67</v>
      </c>
      <c r="H4" s="3" t="s">
        <v>171</v>
      </c>
      <c r="I4" s="1">
        <v>2014</v>
      </c>
    </row>
    <row r="5" spans="2:9" ht="15">
      <c r="B5" s="1" t="s">
        <v>60</v>
      </c>
      <c r="C5" s="1">
        <v>1.03</v>
      </c>
      <c r="E5" s="2" t="s">
        <v>64</v>
      </c>
      <c r="F5" s="3" t="s">
        <v>68</v>
      </c>
      <c r="H5" s="3" t="s">
        <v>189</v>
      </c>
      <c r="I5" s="1">
        <v>2015</v>
      </c>
    </row>
    <row r="6" spans="2:9" ht="15">
      <c r="B6" s="1" t="s">
        <v>61</v>
      </c>
      <c r="C6" s="1">
        <v>1.03</v>
      </c>
      <c r="E6" s="2" t="s">
        <v>65</v>
      </c>
      <c r="F6" s="3" t="s">
        <v>59</v>
      </c>
      <c r="H6" s="1" t="s">
        <v>192</v>
      </c>
      <c r="I6" s="1">
        <v>2016</v>
      </c>
    </row>
    <row r="7" spans="5:9" ht="15">
      <c r="E7" s="2" t="s">
        <v>66</v>
      </c>
      <c r="F7" s="3" t="s">
        <v>69</v>
      </c>
      <c r="H7" s="1" t="s">
        <v>195</v>
      </c>
      <c r="I7" s="1">
        <v>2017</v>
      </c>
    </row>
    <row r="8" spans="8:9" ht="15">
      <c r="H8" s="3" t="s">
        <v>202</v>
      </c>
      <c r="I8" s="1">
        <v>2018</v>
      </c>
    </row>
    <row r="9" spans="1:4" ht="15">
      <c r="A9" s="3"/>
      <c r="C9" s="3" t="s">
        <v>147</v>
      </c>
      <c r="D9" s="3" t="s">
        <v>150</v>
      </c>
    </row>
    <row r="10" spans="3:4" ht="15">
      <c r="C10" s="3" t="s">
        <v>148</v>
      </c>
      <c r="D10" s="3" t="s">
        <v>151</v>
      </c>
    </row>
    <row r="11" spans="1:4" ht="15">
      <c r="A11" s="3"/>
      <c r="C11" s="3" t="s">
        <v>149</v>
      </c>
      <c r="D11" s="3" t="s">
        <v>152</v>
      </c>
    </row>
    <row r="12" spans="3:4" ht="15">
      <c r="C12" s="3" t="s">
        <v>66</v>
      </c>
      <c r="D12" s="3" t="s">
        <v>69</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PHS39895</dc:title>
  <dc:subject>NIH PHS398 FORMS</dc:subject>
  <dc:creator>David Hom</dc:creator>
  <cp:keywords/>
  <dc:description/>
  <cp:lastModifiedBy>Lampson, Amanda (lampsoam)</cp:lastModifiedBy>
  <cp:lastPrinted>2011-05-27T18:56:24Z</cp:lastPrinted>
  <dcterms:created xsi:type="dcterms:W3CDTF">1998-07-16T13:25:26Z</dcterms:created>
  <dcterms:modified xsi:type="dcterms:W3CDTF">2024-05-03T13:23:57Z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0x0101009571625A4492F547A78F4AC4C600C3A6</vt:lpwstr>
  </property>
  <property fmtid="{D5CDD505-2E9C-101B-9397-08002B2CF9AE}" pid="3" name="MigrationWizIdPermissionLevels">
    <vt:lpwstr/>
  </property>
  <property fmtid="{D5CDD505-2E9C-101B-9397-08002B2CF9AE}" pid="4" name="_ip_UnifiedCompliancePolicyUIAction">
    <vt:lpwstr/>
  </property>
  <property fmtid="{D5CDD505-2E9C-101B-9397-08002B2CF9AE}" pid="5" name="MigrationWizId">
    <vt:lpwstr/>
  </property>
  <property fmtid="{D5CDD505-2E9C-101B-9397-08002B2CF9AE}" pid="6" name="MigrationWizIdPermissions">
    <vt:lpwstr/>
  </property>
  <property fmtid="{D5CDD505-2E9C-101B-9397-08002B2CF9AE}" pid="7" name="_ip_UnifiedCompliancePolicyProperties">
    <vt:lpwstr/>
  </property>
  <property fmtid="{D5CDD505-2E9C-101B-9397-08002B2CF9AE}" pid="8" name="MigrationWizIdSecurityGroups">
    <vt:lpwstr/>
  </property>
  <property fmtid="{D5CDD505-2E9C-101B-9397-08002B2CF9AE}" pid="9" name="MigrationWizIdDocumentLibraryPermissions">
    <vt:lpwstr/>
  </property>
  <property fmtid="{D5CDD505-2E9C-101B-9397-08002B2CF9AE}" pid="10" name="_activity">
    <vt:lpwstr/>
  </property>
</Properties>
</file>