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784" activeTab="6"/>
  </bookViews>
  <sheets>
    <sheet name="Instructions " sheetId="1" r:id="rId1"/>
    <sheet name="1 Year" sheetId="2" r:id="rId2"/>
    <sheet name="2 Year" sheetId="3" r:id="rId3"/>
    <sheet name="3 Year" sheetId="4" r:id="rId4"/>
    <sheet name="4 Year" sheetId="5" r:id="rId5"/>
    <sheet name="5 Year" sheetId="6" r:id="rId6"/>
    <sheet name="RATES-Non Fed" sheetId="7" r:id="rId7"/>
    <sheet name="Conversion Chart" sheetId="8" r:id="rId8"/>
    <sheet name="Ref" sheetId="9" r:id="rId9"/>
  </sheets>
  <externalReferences>
    <externalReference r:id="rId12"/>
    <externalReference r:id="rId13"/>
  </externalReferences>
  <definedNames>
    <definedName name="APPTS">'Ref'!$C$9:$C$12</definedName>
    <definedName name="CombDirectTotal">#REF!</definedName>
    <definedName name="CombIndirect">'[1]CHKLST'!#REF!</definedName>
    <definedName name="FirstAltTotal">#REF!</definedName>
    <definedName name="FirstConsultTotal">#REF!</definedName>
    <definedName name="FirstEquipTotal">#REF!</definedName>
    <definedName name="FirstIndirect">#REF!</definedName>
    <definedName name="FirstInptTotal">#REF!</definedName>
    <definedName name="FirstOtrTotal">#REF!</definedName>
    <definedName name="FirstOutptTotal">#REF!</definedName>
    <definedName name="FirstPersonTotal">#REF!</definedName>
    <definedName name="FirstSubcDirect">#REF!</definedName>
    <definedName name="FirstSubcIDC">#REF!</definedName>
    <definedName name="FirstSubtotal">#REF!</definedName>
    <definedName name="FirstSupplTotal">#REF!</definedName>
    <definedName name="FirstTotalDirect">#REF!</definedName>
    <definedName name="FirstTravTotal">#REF!</definedName>
    <definedName name="_xlnm.Print_Area" localSheetId="1">'1 Year'!$A$1:$O$84</definedName>
    <definedName name="_xlnm.Print_Area" localSheetId="7">'Conversion Chart'!$A$1:$N$43</definedName>
    <definedName name="Print_Area_MI">#REF!</definedName>
    <definedName name="Print_Titles_MI">'[1]FACE'!#REF!</definedName>
    <definedName name="PRSALARY">#REF!</definedName>
    <definedName name="Year1Sub">#REF!</definedName>
    <definedName name="Year2Inc">'[2]Ref'!$C$4</definedName>
    <definedName name="Year2Sub">#REF!</definedName>
    <definedName name="Year3Inc">'[2]Ref'!$C$5</definedName>
    <definedName name="Year3Sub">#REF!</definedName>
    <definedName name="Year4Inc">'[2]Ref'!$C$6</definedName>
    <definedName name="Year4Sub">#REF!</definedName>
    <definedName name="Year5Inc">'[2]Ref'!$C$7</definedName>
    <definedName name="Year5Sub">#REF!</definedName>
  </definedNames>
  <calcPr fullCalcOnLoad="1"/>
</workbook>
</file>

<file path=xl/comments2.xml><?xml version="1.0" encoding="utf-8"?>
<comments xmlns="http://schemas.openxmlformats.org/spreadsheetml/2006/main">
  <authors>
    <author>OSP-West</author>
  </authors>
  <commentList>
    <comment ref="D16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0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3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4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5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6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sharedStrings.xml><?xml version="1.0" encoding="utf-8"?>
<sst xmlns="http://schemas.openxmlformats.org/spreadsheetml/2006/main" count="805" uniqueCount="234">
  <si>
    <t>Grants / Contracts</t>
  </si>
  <si>
    <t xml:space="preserve"> </t>
  </si>
  <si>
    <t xml:space="preserve">Sponsoring Agency : </t>
  </si>
  <si>
    <t xml:space="preserve">Titled : </t>
  </si>
  <si>
    <t xml:space="preserve">Principal Investigator : </t>
  </si>
  <si>
    <t xml:space="preserve">Period : </t>
  </si>
  <si>
    <t>thru</t>
  </si>
  <si>
    <t>YEAR 1</t>
  </si>
  <si>
    <t>CUMULATIVE</t>
  </si>
  <si>
    <t>A.</t>
  </si>
  <si>
    <t xml:space="preserve"> Salaries</t>
  </si>
  <si>
    <t>Senior Personnel</t>
  </si>
  <si>
    <t>% Effort</t>
  </si>
  <si>
    <t>Salary</t>
  </si>
  <si>
    <t>PI</t>
  </si>
  <si>
    <t>Co</t>
  </si>
  <si>
    <t xml:space="preserve">Senior Personnel Subtotal : </t>
  </si>
  <si>
    <t xml:space="preserve"> Other Personnel</t>
  </si>
  <si>
    <t>Graduate Students</t>
  </si>
  <si>
    <t>Undergrad Students</t>
  </si>
  <si>
    <t>Part-time Faculty/Staff</t>
  </si>
  <si>
    <t>Year 1</t>
  </si>
  <si>
    <t>Faculty</t>
  </si>
  <si>
    <t xml:space="preserve">Total Salaries and Fringe Benefits : </t>
  </si>
  <si>
    <t>D.</t>
  </si>
  <si>
    <t xml:space="preserve"> Equipment</t>
  </si>
  <si>
    <t>(list)</t>
  </si>
  <si>
    <t xml:space="preserve">Total Equipment : </t>
  </si>
  <si>
    <t>E.</t>
  </si>
  <si>
    <t xml:space="preserve"> Travel</t>
  </si>
  <si>
    <t xml:space="preserve">Domestic </t>
  </si>
  <si>
    <t xml:space="preserve">International </t>
  </si>
  <si>
    <t xml:space="preserve">Total Travel : </t>
  </si>
  <si>
    <t>G.</t>
  </si>
  <si>
    <t xml:space="preserve"> Supplies and Other Direct Costs</t>
  </si>
  <si>
    <t>Materials &amp; Supplies</t>
  </si>
  <si>
    <t>Publication Costs</t>
  </si>
  <si>
    <t>Consultant Services</t>
  </si>
  <si>
    <t>Computer Services</t>
  </si>
  <si>
    <t>Other (Analytical Services/Instrument Use)</t>
  </si>
  <si>
    <t>Subcontracts       1)</t>
  </si>
  <si>
    <t>2)</t>
  </si>
  <si>
    <t xml:space="preserve">Total Supplies and Other Direct Costs : </t>
  </si>
  <si>
    <t xml:space="preserve">TOTAL DIRECT COSTS: </t>
  </si>
  <si>
    <t>Total  Cost</t>
  </si>
  <si>
    <t xml:space="preserve">Purpose of Grant / Contract : </t>
  </si>
  <si>
    <t>R</t>
  </si>
  <si>
    <t>(R = Research, I = Instruction, P = Public Service, S = Special Rate on Total Costs)</t>
  </si>
  <si>
    <t>Campus Status :</t>
  </si>
  <si>
    <t>C</t>
  </si>
  <si>
    <t>(C = On Campus, O = Off Campus)</t>
  </si>
  <si>
    <t>YEAR 2</t>
  </si>
  <si>
    <t>Year 2</t>
  </si>
  <si>
    <t>YEAR 3</t>
  </si>
  <si>
    <t>Year 3</t>
  </si>
  <si>
    <t>YEAR 4</t>
  </si>
  <si>
    <t>Year 4</t>
  </si>
  <si>
    <t>YEAR 5</t>
  </si>
  <si>
    <t>Year 5</t>
  </si>
  <si>
    <t xml:space="preserve">Budget Period : </t>
  </si>
  <si>
    <t>-</t>
  </si>
  <si>
    <t>Fringe Benefit Rates</t>
  </si>
  <si>
    <t>Faculty (AAUP)</t>
  </si>
  <si>
    <t>NonExempt Staff (Bi-Weekly)</t>
  </si>
  <si>
    <t>Students (Grad and Undergrad)</t>
  </si>
  <si>
    <t>PRO-RATED RATES USED</t>
  </si>
  <si>
    <t>weight</t>
  </si>
  <si>
    <t>YEAR 6</t>
  </si>
  <si>
    <t>YEAR 7</t>
  </si>
  <si>
    <t>name</t>
  </si>
  <si>
    <t>Click on Rates worksheet</t>
  </si>
  <si>
    <t>The amount will automatically calculate  and be entered in the year 1 column</t>
  </si>
  <si>
    <t>Proceed to enter budget dollars for remainder of personnel</t>
  </si>
  <si>
    <t>Fringes will calculate automatically for you.</t>
  </si>
  <si>
    <t>Proceed to enter budget dollars for remainder of cost categories.</t>
  </si>
  <si>
    <t xml:space="preserve">If you are using a multi year budget you will notice in years 2 and beyond </t>
  </si>
  <si>
    <t>some of the fields are calculating automatically (4% increase)</t>
  </si>
  <si>
    <t>You may override any of those dollars by entering any number in the field.</t>
  </si>
  <si>
    <r>
      <t xml:space="preserve">Change the budget period </t>
    </r>
    <r>
      <rPr>
        <sz val="12"/>
        <color indexed="12"/>
        <rFont val="Times New Roman"/>
        <family val="1"/>
      </rPr>
      <t>dates</t>
    </r>
    <r>
      <rPr>
        <sz val="12"/>
        <rFont val="Times New Roman"/>
        <family val="0"/>
      </rPr>
      <t xml:space="preserve"> to coincide with your project period</t>
    </r>
  </si>
  <si>
    <r>
      <t>Click on the word</t>
    </r>
    <r>
      <rPr>
        <sz val="12"/>
        <color indexed="12"/>
        <rFont val="Times New Roman"/>
        <family val="1"/>
      </rPr>
      <t xml:space="preserve"> name </t>
    </r>
    <r>
      <rPr>
        <sz val="12"/>
        <rFont val="Times New Roman"/>
        <family val="0"/>
      </rPr>
      <t>next to Sponsoring Agency and enter your sponsor's name</t>
    </r>
  </si>
  <si>
    <r>
      <t xml:space="preserve">Click on the word </t>
    </r>
    <r>
      <rPr>
        <sz val="12"/>
        <color indexed="12"/>
        <rFont val="Times New Roman"/>
        <family val="1"/>
      </rPr>
      <t xml:space="preserve">name </t>
    </r>
    <r>
      <rPr>
        <sz val="12"/>
        <rFont val="Times New Roman"/>
        <family val="0"/>
      </rPr>
      <t>next to Title and enter the title of your project</t>
    </r>
  </si>
  <si>
    <r>
      <t xml:space="preserve">Your project start and end date should appear in </t>
    </r>
    <r>
      <rPr>
        <sz val="12"/>
        <color indexed="10"/>
        <rFont val="Times New Roman"/>
        <family val="1"/>
      </rPr>
      <t>red.</t>
    </r>
    <r>
      <rPr>
        <sz val="12"/>
        <rFont val="Times New Roman"/>
        <family val="0"/>
      </rPr>
      <t xml:space="preserve"> </t>
    </r>
  </si>
  <si>
    <r>
      <t xml:space="preserve"> They come from the </t>
    </r>
    <r>
      <rPr>
        <sz val="12"/>
        <color indexed="12"/>
        <rFont val="Times New Roman"/>
        <family val="1"/>
      </rPr>
      <t>dates</t>
    </r>
    <r>
      <rPr>
        <sz val="12"/>
        <rFont val="Times New Roman"/>
        <family val="0"/>
      </rPr>
      <t xml:space="preserve"> you entered on the Rates Worksheet</t>
    </r>
  </si>
  <si>
    <r>
      <t xml:space="preserve">Click on the second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  <family val="0"/>
      </rPr>
      <t>under effort and enter the percentage of time you will spend on the project during the recess year.</t>
    </r>
  </si>
  <si>
    <t>Exmpt Staff (Mnthly)/Non-AAUP Faculty</t>
  </si>
  <si>
    <t>Part-Time Faculty (&lt;65%)/Staff (&lt;80%)/Post Doc</t>
  </si>
  <si>
    <t>Exempt Staff (Monthly)</t>
  </si>
  <si>
    <t>Post Doctoral Support</t>
  </si>
  <si>
    <t>Non-Exempt Staff (Bi-Weekly)</t>
  </si>
  <si>
    <t>P-T Fac(&lt;65%)/Staff(&lt;80%)&amp;Post Doc</t>
  </si>
  <si>
    <t>Long Distance (Not Subject to Indirect)</t>
  </si>
  <si>
    <t xml:space="preserve">5 Year Budget </t>
  </si>
  <si>
    <t>3)</t>
  </si>
  <si>
    <t>4)</t>
  </si>
  <si>
    <t>Step 1:  MANDATORY</t>
  </si>
  <si>
    <t>Click on the first "-" under salary and enter the appropriate base salary at the expected time of the award.</t>
  </si>
  <si>
    <t>Fringe Benefit Base for Project Period</t>
  </si>
  <si>
    <t>Year 6</t>
  </si>
  <si>
    <t>Year 7</t>
  </si>
  <si>
    <t>App't Type</t>
  </si>
  <si>
    <t>UC Tuition rates (Not Subject to Indirect)</t>
  </si>
  <si>
    <t xml:space="preserve">Instructions for Federal projects </t>
  </si>
  <si>
    <t>From the drop down list, choose the base (starting year) fiscal year of the project.</t>
  </si>
  <si>
    <t>New</t>
  </si>
  <si>
    <t>Fiscal year dates:</t>
  </si>
  <si>
    <t>Click on the worksheet that agrees with the number years you are requesting the sponsor to fund</t>
  </si>
  <si>
    <r>
      <t xml:space="preserve">Click on the word </t>
    </r>
    <r>
      <rPr>
        <sz val="12"/>
        <color indexed="12"/>
        <rFont val="Times New Roman"/>
        <family val="1"/>
      </rPr>
      <t xml:space="preserve">name </t>
    </r>
    <r>
      <rPr>
        <sz val="12"/>
        <rFont val="Times New Roman"/>
        <family val="0"/>
      </rPr>
      <t xml:space="preserve">next to Principal Investigator (PI) and the PI's name </t>
    </r>
  </si>
  <si>
    <t>The appropriate salary increases for the same % of effort in subsequent years are automatically calculated in the spreadsheet.</t>
  </si>
  <si>
    <t>The recess base salary will be calculated automatically</t>
  </si>
  <si>
    <t>The amount will automatically calculate and be entered in the year 1 column</t>
  </si>
  <si>
    <r>
      <t>Enter the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name</t>
    </r>
    <r>
      <rPr>
        <sz val="12"/>
        <rFont val="Times New Roman"/>
        <family val="0"/>
      </rPr>
      <t xml:space="preserve"> of the Co-PI</t>
    </r>
  </si>
  <si>
    <t>If the Co-PI is on a 32 week appointment and eligible for Extra Compensation enter the percentage of time the CoPI will spend on the project during the recess period.</t>
  </si>
  <si>
    <t>Enter the percentage of time the Co PI will spend on the project during the academic period.</t>
  </si>
  <si>
    <r>
      <t xml:space="preserve">Click on the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  <family val="0"/>
      </rPr>
      <t>under effort and enter the percentage of time you will spend on the project during the academic period.</t>
    </r>
  </si>
  <si>
    <t>Add additional Co-PIs as appropriate</t>
  </si>
  <si>
    <t>Do not override any fringe or indirect cost entries</t>
  </si>
  <si>
    <t>The combination of your budget period dates and base fiscal year will be used to calculate the prorated fringe benefits for the budget.</t>
  </si>
  <si>
    <t>Determine if the CoPI(s) are on a 32 week (aka 9 month or academic year) or 12 month appointment (most College of Medicine faculty are on a 12 month appointment). Use the appropriate line(s) in Senior Personnel section for their type of Appointment.</t>
  </si>
  <si>
    <t xml:space="preserve">Facilities and Administrative Costs Calculation: </t>
  </si>
  <si>
    <t>Facilities and Administrative Cost Base:</t>
  </si>
  <si>
    <t xml:space="preserve">Total F&amp;A Cost : </t>
  </si>
  <si>
    <t xml:space="preserve">F&amp;A Cost (on MTDC): </t>
  </si>
  <si>
    <t>Facilities and Administrative Data</t>
  </si>
  <si>
    <t>Name</t>
  </si>
  <si>
    <t>Total Exempt Staff</t>
  </si>
  <si>
    <t>PM</t>
  </si>
  <si>
    <t>CAL</t>
  </si>
  <si>
    <t>ACAD</t>
  </si>
  <si>
    <t>Calendar</t>
  </si>
  <si>
    <t>Academic</t>
  </si>
  <si>
    <t>Please DO NOT change any information on this sheet.</t>
  </si>
  <si>
    <t>Percent of Time &amp; Effort to Person Months (PM)</t>
  </si>
  <si>
    <t>Interactive Conversion Table for the University of Cincinnati</t>
  </si>
  <si>
    <t>EXC</t>
  </si>
  <si>
    <t>9 Month</t>
  </si>
  <si>
    <t>12 Month</t>
  </si>
  <si>
    <t>Recess</t>
  </si>
  <si>
    <t>Academic Year</t>
  </si>
  <si>
    <t>Calendar Year</t>
  </si>
  <si>
    <t xml:space="preserve">  % effort </t>
  </si>
  <si>
    <t xml:space="preserve">         PM</t>
  </si>
  <si>
    <t xml:space="preserve"> % effort</t>
  </si>
  <si>
    <t xml:space="preserve">  % effort</t>
  </si>
  <si>
    <t xml:space="preserve">        PM</t>
  </si>
  <si>
    <t>Instructions:</t>
  </si>
  <si>
    <t>To use the chart simply insert the percent effort that you want to convert into the -0- of the Recess % effort line and</t>
  </si>
  <si>
    <t>hit enter.  The person month 9 and 12 will be displayed simultaneously.</t>
  </si>
  <si>
    <t xml:space="preserve">There are three basic salary (wage) bases: Calendar Year, Academic Year and Summer (Recess) Term. Here is a month/week/days   </t>
  </si>
  <si>
    <t>breakout for each:</t>
  </si>
  <si>
    <t>Academic Year (AY)</t>
  </si>
  <si>
    <t>32 weeks</t>
  </si>
  <si>
    <t>EXC Recess</t>
  </si>
  <si>
    <t>14 weeks</t>
  </si>
  <si>
    <t xml:space="preserve">Calendar Year (CY) </t>
  </si>
  <si>
    <t>52 weeks</t>
  </si>
  <si>
    <t>To fill out the budget forms for the SF 424 R&amp;R grantees will need to convert percent-of-effort to person-months.  Below are</t>
  </si>
  <si>
    <t>a three examples of how person-months are applied:</t>
  </si>
  <si>
    <t>Example 1:</t>
  </si>
  <si>
    <t xml:space="preserve">A PI with EXC Recess at a salary of $27,563 ($63,000*(14/32). </t>
  </si>
  <si>
    <t>25% of EXC Recess effort would equate to 0.81 person-months (14 weeks x.25 effort/4.333 [average number of weeks per month]).</t>
  </si>
  <si>
    <t>The budget figure for that effort would be $6,891 (27,563 multiplied by .25 effort).</t>
  </si>
  <si>
    <t>Example 2:</t>
  </si>
  <si>
    <t xml:space="preserve">A PI on an AY appointment at a salary of $63,000.  </t>
  </si>
  <si>
    <t>25% of AY effort would equate to 1.85 person-months (32 weeks x.25 effort/4.333 [average number of weeks per month]).</t>
  </si>
  <si>
    <t>The budget figure for that effort would be $15,750 (63,000 multiplied by .25 effort).</t>
  </si>
  <si>
    <t>Example 3:</t>
  </si>
  <si>
    <t xml:space="preserve">A PI on an CY appointment at a salary of $72,000.  </t>
  </si>
  <si>
    <t>25% of CY effort would equate to 3.00 person-months (52 weeks x.25 effort/4.333 [average number of weeks per month]).</t>
  </si>
  <si>
    <t>The budget figure for that effort would be $18,000 (72,000 multiplied by .25 effort).</t>
  </si>
  <si>
    <t xml:space="preserve">Special F&amp;A Rate : </t>
  </si>
  <si>
    <t>Go to the "Indirect Data" section at the bottom of the worksheet and enter the indirect data relative to your project</t>
  </si>
  <si>
    <t>Change the letters/numbers in blue as appropriate</t>
  </si>
  <si>
    <t>Return to Row 4</t>
  </si>
  <si>
    <t>Sal</t>
  </si>
  <si>
    <t>FB</t>
  </si>
  <si>
    <t>Total</t>
  </si>
  <si>
    <t>Sub Totals</t>
  </si>
  <si>
    <t xml:space="preserve">4 Year Budget </t>
  </si>
  <si>
    <t xml:space="preserve">3 Year Budget </t>
  </si>
  <si>
    <t xml:space="preserve">2 Year Budget </t>
  </si>
  <si>
    <t xml:space="preserve">1 Year Budget </t>
  </si>
  <si>
    <t>FY18</t>
  </si>
  <si>
    <t>LAM</t>
  </si>
  <si>
    <t>FY19</t>
  </si>
  <si>
    <t>FY 18</t>
  </si>
  <si>
    <t>7/1/2017 - 6/30/18</t>
  </si>
  <si>
    <t>Indirect Cost Rates (on Campus)</t>
  </si>
  <si>
    <t>Research Indirect Costs</t>
  </si>
  <si>
    <t>Instruction Indirect Costs</t>
  </si>
  <si>
    <t>Public Service Indirect Costs</t>
  </si>
  <si>
    <t>Indirect Cost Rates (off Campus)</t>
  </si>
  <si>
    <t>Research F&amp;A</t>
  </si>
  <si>
    <t>Instruction F&amp;A</t>
  </si>
  <si>
    <t>PS F&amp;A</t>
  </si>
  <si>
    <t>Detailed F&amp;A figures for prorated rates</t>
  </si>
  <si>
    <t>*If both lines have the same rate, then just list as one line on forms.</t>
  </si>
  <si>
    <t xml:space="preserve">Fiscal Year : </t>
  </si>
  <si>
    <t xml:space="preserve">Fiscal Year Base Period : </t>
  </si>
  <si>
    <t>7/17-6/18</t>
  </si>
  <si>
    <t>7/18-6/19</t>
  </si>
  <si>
    <t>FY20</t>
  </si>
  <si>
    <t>FY 19</t>
  </si>
  <si>
    <t>FY 20</t>
  </si>
  <si>
    <t>Indirect Cost Rates (off Campus &amp; for Sub-Contracts $25,000 or less)</t>
  </si>
  <si>
    <t>`</t>
  </si>
  <si>
    <t>7/19-6/20</t>
  </si>
  <si>
    <t>FY21</t>
  </si>
  <si>
    <t>FY22</t>
  </si>
  <si>
    <t>FY 21</t>
  </si>
  <si>
    <t>7/1/2018 - 6/30/19</t>
  </si>
  <si>
    <t>7/1/2019 - 6/30/20</t>
  </si>
  <si>
    <t>7/1/2020 - 6/30/21</t>
  </si>
  <si>
    <t>7/20-6/21</t>
  </si>
  <si>
    <t>FY 22</t>
  </si>
  <si>
    <t>7/1/2021 - 6/30/22</t>
  </si>
  <si>
    <t>FY23</t>
  </si>
  <si>
    <t>7/21-6/22</t>
  </si>
  <si>
    <t>7/22-6/23</t>
  </si>
  <si>
    <t>FY24</t>
  </si>
  <si>
    <t>FY 23</t>
  </si>
  <si>
    <t>7/1/2016 - 6/30/18</t>
  </si>
  <si>
    <t>Exmpt Staff (Mnthly)/</t>
  </si>
  <si>
    <t>Dual Comp Faculty</t>
  </si>
  <si>
    <t>FY 24</t>
  </si>
  <si>
    <t>7/1/2017 - 6/30/19</t>
  </si>
  <si>
    <t>7/23-6/24</t>
  </si>
  <si>
    <t>B</t>
  </si>
  <si>
    <t>Dual Compensation Faculty</t>
  </si>
  <si>
    <t>C.</t>
  </si>
  <si>
    <t>AAUP Faculty</t>
  </si>
  <si>
    <t xml:space="preserve">AAUP Faculty Subtotal : </t>
  </si>
  <si>
    <t xml:space="preserve">Dual Comp Faculty Subtotal : </t>
  </si>
  <si>
    <t>Data Validation list</t>
  </si>
  <si>
    <t>Last Revised: 9/20/18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</si>
</sst>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mm/dd/yy_)"/>
    <numFmt numFmtId="166" formatCode="0.00%;[Red]\-0.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%"/>
    <numFmt numFmtId="172" formatCode="0.0000%"/>
    <numFmt numFmtId="173" formatCode="0.000%"/>
    <numFmt numFmtId="174" formatCode="mm/dd/yy"/>
    <numFmt numFmtId="175" formatCode="mm/dd/yy\ h:mm"/>
    <numFmt numFmtId="176" formatCode="General_)"/>
    <numFmt numFmtId="177" formatCode="0.00_)"/>
    <numFmt numFmtId="178" formatCode="00"/>
    <numFmt numFmtId="179" formatCode="mm/dd/yy\ h:mm:ss"/>
    <numFmt numFmtId="180" formatCode="&quot;$&quot;#,##0"/>
    <numFmt numFmtId="181" formatCode="0.000"/>
    <numFmt numFmtId="182" formatCode="0.000_)"/>
    <numFmt numFmtId="183" formatCode="_(* #,##0.00000_);_(* \(#,##0.00000\);_(* &quot;-&quot;?????_);_(@_)"/>
    <numFmt numFmtId="184" formatCode="&quot;(&quot;\ &quot;$&quot;\ #,##0.00\ &quot;/ hour )&quot;"/>
    <numFmt numFmtId="185" formatCode="[$-409]dddd\,\ mmmm\ dd\,\ yyyy"/>
    <numFmt numFmtId="186" formatCode="mm/dd/yy;@"/>
    <numFmt numFmtId="187" formatCode="m/d/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\-yyyy"/>
    <numFmt numFmtId="193" formatCode="0.0_)"/>
    <numFmt numFmtId="194" formatCode="#,##0.0_);\(#,##0.0\)"/>
    <numFmt numFmtId="195" formatCode="0.0000000"/>
    <numFmt numFmtId="196" formatCode="0.000000"/>
    <numFmt numFmtId="197" formatCode="0.00000"/>
    <numFmt numFmtId="198" formatCode="0.0000"/>
    <numFmt numFmtId="199" formatCode="0.0"/>
    <numFmt numFmtId="200" formatCode="#,##0.0_);[Red]\(#,##0.0\)"/>
  </numFmts>
  <fonts count="9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i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4"/>
      <color indexed="10"/>
      <name val="Times New Roman"/>
      <family val="1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12"/>
      <name val="SWISS"/>
      <family val="0"/>
    </font>
    <font>
      <sz val="10"/>
      <name val="Tahoma"/>
      <family val="2"/>
    </font>
    <font>
      <i/>
      <sz val="14"/>
      <name val="Brush Script MT"/>
      <family val="4"/>
    </font>
    <font>
      <b/>
      <sz val="12"/>
      <color indexed="14"/>
      <name val="Arial"/>
      <family val="2"/>
    </font>
    <font>
      <sz val="12"/>
      <color indexed="8"/>
      <name val="Arial"/>
      <family val="2"/>
    </font>
    <font>
      <sz val="12"/>
      <color indexed="10"/>
      <name val="SWISS"/>
      <family val="0"/>
    </font>
    <font>
      <sz val="8"/>
      <name val="Times New Roman"/>
      <family val="1"/>
    </font>
    <font>
      <sz val="10"/>
      <name val="MS Sans Serif"/>
      <family val="2"/>
    </font>
    <font>
      <sz val="9"/>
      <color indexed="20"/>
      <name val="Arial"/>
      <family val="2"/>
    </font>
    <font>
      <sz val="9"/>
      <name val="Arial"/>
      <family val="2"/>
    </font>
    <font>
      <u val="single"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2"/>
      <color indexed="9"/>
      <name val="Times New Roman"/>
      <family val="1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2"/>
      <color indexed="17"/>
      <name val="Times New Roman"/>
      <family val="1"/>
    </font>
    <font>
      <sz val="12"/>
      <color indexed="17"/>
      <name val="Arial"/>
      <family val="2"/>
    </font>
    <font>
      <b/>
      <sz val="12"/>
      <color indexed="17"/>
      <name val="Times New Roman"/>
      <family val="1"/>
    </font>
    <font>
      <b/>
      <sz val="12"/>
      <color indexed="17"/>
      <name val="Arial"/>
      <family val="2"/>
    </font>
    <font>
      <b/>
      <sz val="13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  <font>
      <sz val="12"/>
      <color rgb="FF006600"/>
      <name val="Times New Roman"/>
      <family val="1"/>
    </font>
    <font>
      <sz val="12"/>
      <color rgb="FF006600"/>
      <name val="Arial"/>
      <family val="2"/>
    </font>
    <font>
      <b/>
      <sz val="12"/>
      <color rgb="FF006600"/>
      <name val="Times New Roman"/>
      <family val="1"/>
    </font>
    <font>
      <b/>
      <sz val="12"/>
      <color rgb="FF006600"/>
      <name val="Arial"/>
      <family val="2"/>
    </font>
    <font>
      <b/>
      <sz val="13"/>
      <color rgb="FF006600"/>
      <name val="Arial"/>
      <family val="2"/>
    </font>
    <font>
      <sz val="10"/>
      <color rgb="FF006600"/>
      <name val="Arial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>
      <alignment/>
      <protection/>
    </xf>
    <xf numFmtId="40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176" fontId="4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0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6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6" fontId="0" fillId="0" borderId="0" xfId="0" applyNumberForma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centerContinuous"/>
      <protection/>
    </xf>
    <xf numFmtId="164" fontId="0" fillId="0" borderId="0" xfId="0" applyNumberFormat="1" applyAlignment="1" applyProtection="1">
      <alignment horizontal="centerContinuous"/>
      <protection/>
    </xf>
    <xf numFmtId="6" fontId="0" fillId="0" borderId="0" xfId="0" applyNumberFormat="1" applyAlignment="1" applyProtection="1">
      <alignment horizontal="centerContinuous"/>
      <protection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4" fontId="10" fillId="0" borderId="0" xfId="0" applyNumberFormat="1" applyFont="1" applyAlignment="1" applyProtection="1">
      <alignment horizontal="centerContinuous"/>
      <protection/>
    </xf>
    <xf numFmtId="164" fontId="11" fillId="0" borderId="0" xfId="0" applyNumberFormat="1" applyFont="1" applyAlignment="1" applyProtection="1">
      <alignment horizontal="left"/>
      <protection/>
    </xf>
    <xf numFmtId="38" fontId="7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5" fontId="0" fillId="0" borderId="0" xfId="0" applyNumberFormat="1" applyAlignment="1" applyProtection="1">
      <alignment horizontal="centerContinuous"/>
      <protection/>
    </xf>
    <xf numFmtId="6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centerContinuous"/>
      <protection/>
    </xf>
    <xf numFmtId="164" fontId="10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168" fontId="13" fillId="0" borderId="0" xfId="42" applyNumberFormat="1" applyFont="1">
      <alignment/>
      <protection/>
    </xf>
    <xf numFmtId="168" fontId="13" fillId="0" borderId="10" xfId="42" applyNumberFormat="1" applyFont="1" applyBorder="1">
      <alignment/>
      <protection/>
    </xf>
    <xf numFmtId="38" fontId="14" fillId="0" borderId="0" xfId="0" applyNumberFormat="1" applyFont="1" applyAlignment="1" applyProtection="1">
      <alignment/>
      <protection/>
    </xf>
    <xf numFmtId="38" fontId="13" fillId="0" borderId="0" xfId="0" applyNumberFormat="1" applyFont="1" applyAlignment="1" applyProtection="1">
      <alignment horizontal="left"/>
      <protection/>
    </xf>
    <xf numFmtId="37" fontId="13" fillId="0" borderId="0" xfId="0" applyNumberFormat="1" applyFont="1" applyAlignment="1" applyProtection="1">
      <alignment/>
      <protection/>
    </xf>
    <xf numFmtId="168" fontId="14" fillId="0" borderId="0" xfId="42" applyNumberFormat="1" applyFo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6" fontId="13" fillId="0" borderId="0" xfId="0" applyNumberFormat="1" applyFont="1" applyAlignment="1" applyProtection="1">
      <alignment/>
      <protection/>
    </xf>
    <xf numFmtId="38" fontId="13" fillId="0" borderId="0" xfId="0" applyNumberFormat="1" applyFont="1" applyAlignment="1" applyProtection="1">
      <alignment/>
      <protection/>
    </xf>
    <xf numFmtId="168" fontId="13" fillId="0" borderId="11" xfId="42" applyNumberFormat="1" applyFont="1" applyBorder="1" applyProtection="1">
      <alignment/>
      <protection/>
    </xf>
    <xf numFmtId="168" fontId="13" fillId="0" borderId="0" xfId="42" applyNumberFormat="1" applyFont="1" applyProtection="1">
      <alignment/>
      <protection/>
    </xf>
    <xf numFmtId="168" fontId="14" fillId="0" borderId="11" xfId="42" applyNumberFormat="1" applyFont="1" applyBorder="1" applyProtection="1">
      <alignment/>
      <protection/>
    </xf>
    <xf numFmtId="168" fontId="13" fillId="0" borderId="0" xfId="42" applyNumberFormat="1" applyFont="1" applyAlignment="1" applyProtection="1">
      <alignment horizontal="left"/>
      <protection/>
    </xf>
    <xf numFmtId="168" fontId="14" fillId="0" borderId="10" xfId="42" applyNumberFormat="1" applyFont="1" applyBorder="1">
      <alignment/>
      <protection/>
    </xf>
    <xf numFmtId="0" fontId="13" fillId="0" borderId="0" xfId="0" applyFont="1" applyAlignment="1">
      <alignment/>
    </xf>
    <xf numFmtId="164" fontId="13" fillId="0" borderId="0" xfId="0" applyNumberFormat="1" applyFont="1" applyAlignment="1" applyProtection="1">
      <alignment/>
      <protection/>
    </xf>
    <xf numFmtId="5" fontId="13" fillId="0" borderId="0" xfId="0" applyNumberFormat="1" applyFont="1" applyAlignment="1" applyProtection="1">
      <alignment/>
      <protection/>
    </xf>
    <xf numFmtId="170" fontId="15" fillId="0" borderId="0" xfId="46" applyNumberFormat="1" applyFont="1" applyAlignment="1">
      <alignment/>
    </xf>
    <xf numFmtId="164" fontId="12" fillId="0" borderId="0" xfId="0" applyNumberFormat="1" applyFont="1" applyAlignment="1" applyProtection="1">
      <alignment/>
      <protection/>
    </xf>
    <xf numFmtId="168" fontId="14" fillId="0" borderId="0" xfId="42" applyNumberFormat="1" applyFont="1" applyBorder="1" applyProtection="1">
      <alignment/>
      <protection/>
    </xf>
    <xf numFmtId="38" fontId="14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right"/>
      <protection/>
    </xf>
    <xf numFmtId="43" fontId="13" fillId="0" borderId="0" xfId="42" applyFont="1">
      <alignment/>
      <protection/>
    </xf>
    <xf numFmtId="38" fontId="16" fillId="0" borderId="0" xfId="0" applyNumberFormat="1" applyFont="1" applyAlignment="1" applyProtection="1">
      <alignment/>
      <protection/>
    </xf>
    <xf numFmtId="168" fontId="16" fillId="0" borderId="0" xfId="42" applyNumberFormat="1" applyFont="1">
      <alignment/>
      <protection/>
    </xf>
    <xf numFmtId="168" fontId="13" fillId="0" borderId="0" xfId="0" applyNumberFormat="1" applyFont="1" applyAlignment="1" applyProtection="1">
      <alignment/>
      <protection/>
    </xf>
    <xf numFmtId="10" fontId="0" fillId="0" borderId="0" xfId="69" applyNumberFormat="1" applyFont="1" applyAlignment="1">
      <alignment/>
    </xf>
    <xf numFmtId="170" fontId="17" fillId="0" borderId="0" xfId="46" applyNumberFormat="1" applyFont="1" applyAlignment="1">
      <alignment/>
    </xf>
    <xf numFmtId="10" fontId="5" fillId="0" borderId="0" xfId="69" applyNumberFormat="1" applyFont="1" applyAlignment="1">
      <alignment/>
    </xf>
    <xf numFmtId="0" fontId="18" fillId="0" borderId="0" xfId="0" applyFont="1" applyAlignment="1">
      <alignment/>
    </xf>
    <xf numFmtId="38" fontId="16" fillId="0" borderId="12" xfId="0" applyNumberFormat="1" applyFont="1" applyBorder="1" applyAlignment="1" applyProtection="1">
      <alignment/>
      <protection/>
    </xf>
    <xf numFmtId="165" fontId="18" fillId="0" borderId="0" xfId="0" applyNumberFormat="1" applyFont="1" applyAlignment="1" applyProtection="1">
      <alignment/>
      <protection/>
    </xf>
    <xf numFmtId="168" fontId="20" fillId="0" borderId="0" xfId="42" applyNumberFormat="1" applyFont="1">
      <alignment/>
      <protection/>
    </xf>
    <xf numFmtId="3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64">
      <alignment/>
      <protection/>
    </xf>
    <xf numFmtId="0" fontId="5" fillId="0" borderId="0" xfId="64" applyFont="1" applyAlignment="1">
      <alignment horizontal="center"/>
      <protection/>
    </xf>
    <xf numFmtId="165" fontId="0" fillId="0" borderId="0" xfId="64" applyNumberFormat="1" applyProtection="1">
      <alignment/>
      <protection/>
    </xf>
    <xf numFmtId="0" fontId="0" fillId="0" borderId="0" xfId="64" applyAlignment="1">
      <alignment horizontal="center"/>
      <protection/>
    </xf>
    <xf numFmtId="0" fontId="0" fillId="0" borderId="0" xfId="64" applyAlignment="1">
      <alignment horizontal="left"/>
      <protection/>
    </xf>
    <xf numFmtId="10" fontId="0" fillId="0" borderId="0" xfId="64" applyNumberFormat="1" applyProtection="1">
      <alignment/>
      <protection/>
    </xf>
    <xf numFmtId="37" fontId="0" fillId="0" borderId="0" xfId="64" applyNumberFormat="1" applyProtection="1">
      <alignment/>
      <protection/>
    </xf>
    <xf numFmtId="10" fontId="0" fillId="0" borderId="0" xfId="64" applyNumberFormat="1" applyAlignment="1" applyProtection="1">
      <alignment horizontal="center"/>
      <protection/>
    </xf>
    <xf numFmtId="0" fontId="24" fillId="0" borderId="0" xfId="63" applyFont="1" applyAlignment="1">
      <alignment horizontal="right"/>
      <protection/>
    </xf>
    <xf numFmtId="0" fontId="24" fillId="0" borderId="0" xfId="63">
      <alignment/>
      <protection/>
    </xf>
    <xf numFmtId="14" fontId="0" fillId="0" borderId="0" xfId="64" applyNumberFormat="1">
      <alignment/>
      <protection/>
    </xf>
    <xf numFmtId="0" fontId="26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0" borderId="0" xfId="64" applyFont="1">
      <alignment/>
      <protection/>
    </xf>
    <xf numFmtId="14" fontId="7" fillId="0" borderId="0" xfId="64" applyNumberFormat="1" applyFont="1">
      <alignment/>
      <protection/>
    </xf>
    <xf numFmtId="0" fontId="6" fillId="0" borderId="0" xfId="64" applyFont="1">
      <alignment/>
      <protection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19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 quotePrefix="1">
      <alignment/>
      <protection/>
    </xf>
    <xf numFmtId="2" fontId="5" fillId="0" borderId="0" xfId="69" applyNumberFormat="1" applyFont="1" applyAlignment="1">
      <alignment/>
    </xf>
    <xf numFmtId="177" fontId="28" fillId="0" borderId="0" xfId="65" applyNumberFormat="1" applyFont="1" applyFill="1" applyBorder="1" applyProtection="1">
      <alignment/>
      <protection locked="0"/>
    </xf>
    <xf numFmtId="0" fontId="24" fillId="0" borderId="0" xfId="63" applyFont="1">
      <alignment/>
      <protection/>
    </xf>
    <xf numFmtId="0" fontId="29" fillId="0" borderId="0" xfId="63" applyFont="1">
      <alignment/>
      <protection/>
    </xf>
    <xf numFmtId="0" fontId="24" fillId="0" borderId="0" xfId="63" applyFont="1" applyAlignment="1">
      <alignment horizontal="left"/>
      <protection/>
    </xf>
    <xf numFmtId="0" fontId="33" fillId="0" borderId="0" xfId="66" applyFont="1">
      <alignment/>
      <protection/>
    </xf>
    <xf numFmtId="0" fontId="32" fillId="0" borderId="0" xfId="66" applyFont="1" applyAlignment="1">
      <alignment horizontal="center"/>
      <protection/>
    </xf>
    <xf numFmtId="0" fontId="32" fillId="0" borderId="0" xfId="66" applyFont="1">
      <alignment/>
      <protection/>
    </xf>
    <xf numFmtId="0" fontId="33" fillId="0" borderId="0" xfId="66" applyFont="1" applyAlignment="1">
      <alignment horizontal="center"/>
      <protection/>
    </xf>
    <xf numFmtId="0" fontId="32" fillId="34" borderId="0" xfId="66" applyFont="1" applyFill="1" applyAlignment="1">
      <alignment horizontal="center"/>
      <protection/>
    </xf>
    <xf numFmtId="0" fontId="33" fillId="34" borderId="0" xfId="66" applyFont="1" applyFill="1">
      <alignment/>
      <protection/>
    </xf>
    <xf numFmtId="0" fontId="32" fillId="34" borderId="0" xfId="66" applyFont="1" applyFill="1">
      <alignment/>
      <protection/>
    </xf>
    <xf numFmtId="0" fontId="32" fillId="0" borderId="0" xfId="66" applyFont="1" applyFill="1" applyBorder="1">
      <alignment/>
      <protection/>
    </xf>
    <xf numFmtId="0" fontId="32" fillId="34" borderId="0" xfId="66" applyFont="1" applyFill="1" applyBorder="1" applyAlignment="1">
      <alignment horizontal="center"/>
      <protection/>
    </xf>
    <xf numFmtId="0" fontId="34" fillId="34" borderId="0" xfId="66" applyFont="1" applyFill="1">
      <alignment/>
      <protection/>
    </xf>
    <xf numFmtId="0" fontId="34" fillId="0" borderId="0" xfId="66" applyFont="1" applyFill="1" applyBorder="1">
      <alignment/>
      <protection/>
    </xf>
    <xf numFmtId="0" fontId="32" fillId="34" borderId="0" xfId="66" applyFont="1" applyFill="1" applyAlignment="1">
      <alignment horizontal="right"/>
      <protection/>
    </xf>
    <xf numFmtId="0" fontId="32" fillId="34" borderId="0" xfId="66" applyFont="1" applyFill="1" applyAlignment="1">
      <alignment horizontal="right"/>
      <protection/>
    </xf>
    <xf numFmtId="0" fontId="32" fillId="0" borderId="0" xfId="66" applyFont="1" applyFill="1" applyBorder="1" applyAlignment="1">
      <alignment horizontal="right"/>
      <protection/>
    </xf>
    <xf numFmtId="0" fontId="33" fillId="0" borderId="13" xfId="66" applyFont="1" applyBorder="1">
      <alignment/>
      <protection/>
    </xf>
    <xf numFmtId="0" fontId="33" fillId="0" borderId="0" xfId="66" applyFont="1" applyBorder="1">
      <alignment/>
      <protection/>
    </xf>
    <xf numFmtId="0" fontId="35" fillId="35" borderId="10" xfId="66" applyFont="1" applyFill="1" applyBorder="1">
      <alignment/>
      <protection/>
    </xf>
    <xf numFmtId="2" fontId="35" fillId="35" borderId="10" xfId="66" applyNumberFormat="1" applyFont="1" applyFill="1" applyBorder="1">
      <alignment/>
      <protection/>
    </xf>
    <xf numFmtId="2" fontId="35" fillId="35" borderId="0" xfId="66" applyNumberFormat="1" applyFont="1" applyFill="1" applyBorder="1">
      <alignment/>
      <protection/>
    </xf>
    <xf numFmtId="0" fontId="35" fillId="0" borderId="0" xfId="66" applyFont="1">
      <alignment/>
      <protection/>
    </xf>
    <xf numFmtId="0" fontId="35" fillId="35" borderId="0" xfId="66" applyFont="1" applyFill="1" applyBorder="1">
      <alignment/>
      <protection/>
    </xf>
    <xf numFmtId="2" fontId="35" fillId="35" borderId="0" xfId="66" applyNumberFormat="1" applyFont="1" applyFill="1" applyBorder="1" applyAlignment="1">
      <alignment horizontal="right"/>
      <protection/>
    </xf>
    <xf numFmtId="2" fontId="35" fillId="35" borderId="0" xfId="66" applyNumberFormat="1" applyFont="1" applyFill="1" applyBorder="1" applyAlignment="1">
      <alignment horizontal="center"/>
      <protection/>
    </xf>
    <xf numFmtId="0" fontId="33" fillId="35" borderId="14" xfId="66" applyFont="1" applyFill="1" applyBorder="1">
      <alignment/>
      <protection/>
    </xf>
    <xf numFmtId="2" fontId="33" fillId="35" borderId="14" xfId="66" applyNumberFormat="1" applyFont="1" applyFill="1" applyBorder="1">
      <alignment/>
      <protection/>
    </xf>
    <xf numFmtId="2" fontId="35" fillId="35" borderId="14" xfId="66" applyNumberFormat="1" applyFont="1" applyFill="1" applyBorder="1">
      <alignment/>
      <protection/>
    </xf>
    <xf numFmtId="0" fontId="33" fillId="0" borderId="14" xfId="66" applyFont="1" applyBorder="1">
      <alignment/>
      <protection/>
    </xf>
    <xf numFmtId="0" fontId="33" fillId="35" borderId="0" xfId="66" applyFont="1" applyFill="1" applyBorder="1">
      <alignment/>
      <protection/>
    </xf>
    <xf numFmtId="2" fontId="33" fillId="35" borderId="0" xfId="66" applyNumberFormat="1" applyFont="1" applyFill="1" applyBorder="1">
      <alignment/>
      <protection/>
    </xf>
    <xf numFmtId="2" fontId="33" fillId="0" borderId="0" xfId="66" applyNumberFormat="1" applyFont="1">
      <alignment/>
      <protection/>
    </xf>
    <xf numFmtId="0" fontId="36" fillId="0" borderId="0" xfId="66" applyFont="1">
      <alignment/>
      <protection/>
    </xf>
    <xf numFmtId="2" fontId="36" fillId="0" borderId="0" xfId="66" applyNumberFormat="1" applyFont="1">
      <alignment/>
      <protection/>
    </xf>
    <xf numFmtId="0" fontId="37" fillId="0" borderId="0" xfId="66" applyFont="1">
      <alignment/>
      <protection/>
    </xf>
    <xf numFmtId="0" fontId="37" fillId="0" borderId="0" xfId="66" applyFont="1" applyAlignment="1">
      <alignment horizontal="left" indent="8"/>
      <protection/>
    </xf>
    <xf numFmtId="0" fontId="4" fillId="0" borderId="0" xfId="66">
      <alignment/>
      <protection/>
    </xf>
    <xf numFmtId="0" fontId="33" fillId="0" borderId="0" xfId="66" applyFont="1">
      <alignment/>
      <protection/>
    </xf>
    <xf numFmtId="2" fontId="4" fillId="0" borderId="0" xfId="66" applyNumberFormat="1">
      <alignment/>
      <protection/>
    </xf>
    <xf numFmtId="0" fontId="27" fillId="36" borderId="0" xfId="65" applyFont="1" applyFill="1" applyBorder="1" applyProtection="1">
      <alignment/>
      <protection locked="0"/>
    </xf>
    <xf numFmtId="164" fontId="0" fillId="0" borderId="0" xfId="0" applyNumberFormat="1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 applyProtection="1">
      <alignment horizontal="center"/>
      <protection/>
    </xf>
    <xf numFmtId="5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38" fontId="13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8" fontId="0" fillId="0" borderId="0" xfId="0" applyNumberFormat="1" applyFont="1" applyAlignment="1" applyProtection="1">
      <alignment/>
      <protection/>
    </xf>
    <xf numFmtId="10" fontId="0" fillId="0" borderId="0" xfId="69" applyNumberFormat="1" applyFont="1" applyAlignment="1">
      <alignment/>
    </xf>
    <xf numFmtId="164" fontId="85" fillId="0" borderId="0" xfId="0" applyNumberFormat="1" applyFont="1" applyAlignment="1" applyProtection="1">
      <alignment horizontal="centerContinuous"/>
      <protection/>
    </xf>
    <xf numFmtId="164" fontId="85" fillId="0" borderId="0" xfId="0" applyNumberFormat="1" applyFont="1" applyAlignment="1" applyProtection="1">
      <alignment/>
      <protection/>
    </xf>
    <xf numFmtId="0" fontId="85" fillId="0" borderId="0" xfId="0" applyFont="1" applyAlignment="1" applyProtection="1">
      <alignment/>
      <protection locked="0"/>
    </xf>
    <xf numFmtId="164" fontId="86" fillId="0" borderId="0" xfId="0" applyNumberFormat="1" applyFont="1" applyAlignment="1" applyProtection="1">
      <alignment horizontal="center"/>
      <protection/>
    </xf>
    <xf numFmtId="6" fontId="87" fillId="0" borderId="0" xfId="0" applyNumberFormat="1" applyFont="1" applyAlignment="1" applyProtection="1">
      <alignment/>
      <protection/>
    </xf>
    <xf numFmtId="37" fontId="87" fillId="0" borderId="0" xfId="0" applyNumberFormat="1" applyFont="1" applyAlignment="1" applyProtection="1">
      <alignment/>
      <protection/>
    </xf>
    <xf numFmtId="38" fontId="87" fillId="0" borderId="0" xfId="0" applyNumberFormat="1" applyFont="1" applyAlignment="1" applyProtection="1">
      <alignment/>
      <protection/>
    </xf>
    <xf numFmtId="0" fontId="86" fillId="0" borderId="0" xfId="0" applyFont="1" applyAlignment="1">
      <alignment/>
    </xf>
    <xf numFmtId="37" fontId="88" fillId="0" borderId="0" xfId="0" applyNumberFormat="1" applyFont="1" applyAlignment="1" applyProtection="1">
      <alignment/>
      <protection/>
    </xf>
    <xf numFmtId="38" fontId="88" fillId="0" borderId="0" xfId="0" applyNumberFormat="1" applyFont="1" applyAlignment="1" applyProtection="1">
      <alignment/>
      <protection/>
    </xf>
    <xf numFmtId="38" fontId="89" fillId="0" borderId="0" xfId="0" applyNumberFormat="1" applyFont="1" applyAlignment="1" applyProtection="1">
      <alignment/>
      <protection/>
    </xf>
    <xf numFmtId="168" fontId="90" fillId="0" borderId="0" xfId="42" applyNumberFormat="1" applyFont="1">
      <alignment/>
      <protection/>
    </xf>
    <xf numFmtId="0" fontId="87" fillId="0" borderId="0" xfId="0" applyFont="1" applyAlignment="1">
      <alignment/>
    </xf>
    <xf numFmtId="164" fontId="87" fillId="0" borderId="0" xfId="0" applyNumberFormat="1" applyFont="1" applyAlignment="1" applyProtection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Continuous"/>
    </xf>
    <xf numFmtId="38" fontId="87" fillId="0" borderId="0" xfId="0" applyNumberFormat="1" applyFont="1" applyAlignment="1" applyProtection="1">
      <alignment/>
      <protection locked="0"/>
    </xf>
    <xf numFmtId="168" fontId="87" fillId="0" borderId="0" xfId="42" applyNumberFormat="1" applyFont="1">
      <alignment/>
      <protection/>
    </xf>
    <xf numFmtId="38" fontId="86" fillId="0" borderId="0" xfId="0" applyNumberFormat="1" applyFont="1" applyAlignment="1" applyProtection="1">
      <alignment/>
      <protection/>
    </xf>
    <xf numFmtId="0" fontId="85" fillId="0" borderId="0" xfId="0" applyFont="1" applyAlignment="1" applyProtection="1">
      <alignment horizontal="center"/>
      <protection locked="0"/>
    </xf>
    <xf numFmtId="5" fontId="7" fillId="19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164" fontId="91" fillId="0" borderId="0" xfId="0" applyNumberFormat="1" applyFont="1" applyAlignment="1" applyProtection="1">
      <alignment horizontal="centerContinuous"/>
      <protection/>
    </xf>
    <xf numFmtId="164" fontId="91" fillId="0" borderId="0" xfId="0" applyNumberFormat="1" applyFont="1" applyAlignment="1" applyProtection="1">
      <alignment/>
      <protection/>
    </xf>
    <xf numFmtId="0" fontId="91" fillId="0" borderId="0" xfId="0" applyFont="1" applyAlignment="1" applyProtection="1">
      <alignment/>
      <protection locked="0"/>
    </xf>
    <xf numFmtId="37" fontId="92" fillId="0" borderId="0" xfId="0" applyNumberFormat="1" applyFont="1" applyAlignment="1" applyProtection="1">
      <alignment/>
      <protection/>
    </xf>
    <xf numFmtId="38" fontId="92" fillId="0" borderId="0" xfId="0" applyNumberFormat="1" applyFont="1" applyAlignment="1" applyProtection="1">
      <alignment/>
      <protection/>
    </xf>
    <xf numFmtId="0" fontId="93" fillId="0" borderId="0" xfId="0" applyFont="1" applyAlignment="1">
      <alignment/>
    </xf>
    <xf numFmtId="37" fontId="94" fillId="0" borderId="0" xfId="0" applyNumberFormat="1" applyFont="1" applyAlignment="1" applyProtection="1">
      <alignment/>
      <protection/>
    </xf>
    <xf numFmtId="38" fontId="94" fillId="0" borderId="0" xfId="0" applyNumberFormat="1" applyFont="1" applyAlignment="1" applyProtection="1">
      <alignment/>
      <protection/>
    </xf>
    <xf numFmtId="38" fontId="95" fillId="0" borderId="0" xfId="0" applyNumberFormat="1" applyFont="1" applyAlignment="1" applyProtection="1">
      <alignment/>
      <protection/>
    </xf>
    <xf numFmtId="168" fontId="96" fillId="0" borderId="0" xfId="42" applyNumberFormat="1" applyFont="1">
      <alignment/>
      <protection/>
    </xf>
    <xf numFmtId="0" fontId="92" fillId="0" borderId="0" xfId="0" applyFont="1" applyAlignment="1">
      <alignment/>
    </xf>
    <xf numFmtId="164" fontId="92" fillId="0" borderId="0" xfId="0" applyNumberFormat="1" applyFont="1" applyAlignment="1" applyProtection="1">
      <alignment/>
      <protection/>
    </xf>
    <xf numFmtId="0" fontId="91" fillId="0" borderId="0" xfId="0" applyFont="1" applyAlignment="1">
      <alignment/>
    </xf>
    <xf numFmtId="38" fontId="92" fillId="0" borderId="0" xfId="0" applyNumberFormat="1" applyFont="1" applyAlignment="1" applyProtection="1">
      <alignment/>
      <protection locked="0"/>
    </xf>
    <xf numFmtId="168" fontId="92" fillId="0" borderId="0" xfId="42" applyNumberFormat="1" applyFont="1">
      <alignment/>
      <protection/>
    </xf>
    <xf numFmtId="164" fontId="9" fillId="0" borderId="0" xfId="0" applyNumberFormat="1" applyFont="1" applyAlignment="1" applyProtection="1">
      <alignment horizontal="right"/>
      <protection/>
    </xf>
    <xf numFmtId="6" fontId="93" fillId="0" borderId="0" xfId="0" applyNumberFormat="1" applyFont="1" applyAlignment="1" applyProtection="1">
      <alignment horizontal="center"/>
      <protection/>
    </xf>
    <xf numFmtId="6" fontId="91" fillId="0" borderId="0" xfId="0" applyNumberFormat="1" applyFont="1" applyAlignment="1" applyProtection="1">
      <alignment/>
      <protection/>
    </xf>
    <xf numFmtId="168" fontId="92" fillId="0" borderId="11" xfId="42" applyNumberFormat="1" applyFont="1" applyBorder="1" applyProtection="1">
      <alignment/>
      <protection/>
    </xf>
    <xf numFmtId="168" fontId="92" fillId="0" borderId="0" xfId="42" applyNumberFormat="1" applyFont="1" applyProtection="1">
      <alignment/>
      <protection locked="0"/>
    </xf>
    <xf numFmtId="168" fontId="92" fillId="0" borderId="0" xfId="42" applyNumberFormat="1" applyFont="1" applyBorder="1">
      <alignment/>
      <protection/>
    </xf>
    <xf numFmtId="5" fontId="9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Continuous"/>
    </xf>
    <xf numFmtId="38" fontId="7" fillId="0" borderId="0" xfId="0" applyNumberFormat="1" applyFont="1" applyAlignment="1" applyProtection="1">
      <alignment/>
      <protection/>
    </xf>
    <xf numFmtId="168" fontId="4" fillId="0" borderId="0" xfId="42" applyNumberFormat="1" applyFont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5" fillId="0" borderId="17" xfId="0" applyFont="1" applyBorder="1" applyAlignment="1" applyProtection="1">
      <alignment vertical="center" wrapText="1"/>
      <protection locked="0"/>
    </xf>
    <xf numFmtId="168" fontId="92" fillId="0" borderId="13" xfId="42" applyNumberFormat="1" applyFont="1" applyBorder="1">
      <alignment/>
      <protection/>
    </xf>
    <xf numFmtId="38" fontId="87" fillId="0" borderId="13" xfId="0" applyNumberFormat="1" applyFont="1" applyBorder="1" applyAlignment="1" applyProtection="1">
      <alignment/>
      <protection/>
    </xf>
    <xf numFmtId="38" fontId="13" fillId="0" borderId="13" xfId="0" applyNumberFormat="1" applyFont="1" applyBorder="1" applyAlignment="1" applyProtection="1">
      <alignment/>
      <protection/>
    </xf>
    <xf numFmtId="168" fontId="13" fillId="0" borderId="13" xfId="42" applyNumberFormat="1" applyFont="1" applyBorder="1">
      <alignment/>
      <protection/>
    </xf>
    <xf numFmtId="168" fontId="92" fillId="0" borderId="0" xfId="42" applyNumberFormat="1" applyFont="1" applyBorder="1" applyProtection="1">
      <alignment/>
      <protection/>
    </xf>
    <xf numFmtId="6" fontId="87" fillId="0" borderId="13" xfId="0" applyNumberFormat="1" applyFont="1" applyBorder="1" applyAlignment="1" applyProtection="1">
      <alignment/>
      <protection/>
    </xf>
    <xf numFmtId="168" fontId="13" fillId="0" borderId="13" xfId="0" applyNumberFormat="1" applyFont="1" applyBorder="1" applyAlignment="1" applyProtection="1">
      <alignment/>
      <protection/>
    </xf>
    <xf numFmtId="168" fontId="92" fillId="0" borderId="0" xfId="0" applyNumberFormat="1" applyFont="1" applyBorder="1" applyAlignment="1" applyProtection="1">
      <alignment/>
      <protection/>
    </xf>
    <xf numFmtId="38" fontId="87" fillId="0" borderId="13" xfId="0" applyNumberFormat="1" applyFont="1" applyBorder="1" applyAlignment="1" applyProtection="1">
      <alignment/>
      <protection locked="0"/>
    </xf>
    <xf numFmtId="10" fontId="5" fillId="0" borderId="0" xfId="64" applyNumberFormat="1" applyFont="1" applyProtection="1">
      <alignment/>
      <protection locked="0"/>
    </xf>
    <xf numFmtId="0" fontId="0" fillId="0" borderId="0" xfId="64" applyFont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64" applyFont="1" applyAlignment="1">
      <alignment horizontal="left"/>
      <protection/>
    </xf>
    <xf numFmtId="10" fontId="0" fillId="0" borderId="0" xfId="64" applyNumberFormat="1" applyFont="1" applyAlignment="1" applyProtection="1">
      <alignment horizontal="center"/>
      <protection/>
    </xf>
    <xf numFmtId="0" fontId="0" fillId="0" borderId="0" xfId="64" applyFont="1" applyAlignment="1">
      <alignment horizontal="left"/>
      <protection/>
    </xf>
    <xf numFmtId="37" fontId="0" fillId="0" borderId="0" xfId="64" applyNumberFormat="1" applyFont="1" applyProtection="1">
      <alignment/>
      <protection/>
    </xf>
    <xf numFmtId="10" fontId="0" fillId="0" borderId="0" xfId="64" applyNumberFormat="1" applyFont="1" applyProtection="1">
      <alignment/>
      <protection/>
    </xf>
    <xf numFmtId="43" fontId="0" fillId="0" borderId="0" xfId="0" applyNumberFormat="1" applyAlignment="1">
      <alignment/>
    </xf>
    <xf numFmtId="10" fontId="0" fillId="0" borderId="0" xfId="69" applyNumberFormat="1" applyFont="1" applyAlignment="1">
      <alignment/>
    </xf>
    <xf numFmtId="10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64" applyFont="1" applyAlignment="1">
      <alignment horizontal="right"/>
      <protection/>
    </xf>
    <xf numFmtId="165" fontId="5" fillId="0" borderId="15" xfId="64" applyNumberFormat="1" applyFont="1" applyBorder="1" applyProtection="1">
      <alignment/>
      <protection/>
    </xf>
    <xf numFmtId="187" fontId="39" fillId="0" borderId="0" xfId="64" applyNumberFormat="1" applyFont="1">
      <alignment/>
      <protection/>
    </xf>
    <xf numFmtId="0" fontId="0" fillId="0" borderId="0" xfId="64" applyFont="1" applyAlignment="1">
      <alignment horizontal="right"/>
      <protection/>
    </xf>
    <xf numFmtId="0" fontId="5" fillId="0" borderId="0" xfId="64" applyFont="1" applyProtection="1">
      <alignment/>
      <protection locked="0"/>
    </xf>
    <xf numFmtId="0" fontId="7" fillId="0" borderId="0" xfId="64" applyFont="1" applyAlignment="1">
      <alignment horizontal="center"/>
      <protection/>
    </xf>
    <xf numFmtId="0" fontId="8" fillId="0" borderId="0" xfId="64" applyFont="1">
      <alignment/>
      <protection/>
    </xf>
    <xf numFmtId="0" fontId="11" fillId="0" borderId="0" xfId="64" applyFont="1" applyAlignment="1">
      <alignment horizontal="center"/>
      <protection/>
    </xf>
    <xf numFmtId="0" fontId="11" fillId="0" borderId="0" xfId="64" applyFont="1" applyAlignment="1">
      <alignment horizontal="centerContinuous"/>
      <protection/>
    </xf>
    <xf numFmtId="0" fontId="11" fillId="0" borderId="0" xfId="64" applyFont="1">
      <alignment/>
      <protection/>
    </xf>
    <xf numFmtId="0" fontId="0" fillId="0" borderId="0" xfId="64" applyFont="1">
      <alignment/>
      <protection/>
    </xf>
    <xf numFmtId="0" fontId="12" fillId="0" borderId="0" xfId="64" applyFont="1" applyAlignment="1">
      <alignment horizontal="left"/>
      <protection/>
    </xf>
    <xf numFmtId="164" fontId="23" fillId="0" borderId="0" xfId="57" applyNumberFormat="1" applyAlignment="1" applyProtection="1">
      <alignment horizontal="left"/>
      <protection/>
    </xf>
    <xf numFmtId="14" fontId="7" fillId="0" borderId="0" xfId="64" applyNumberFormat="1" applyFont="1">
      <alignment/>
      <protection/>
    </xf>
    <xf numFmtId="0" fontId="7" fillId="0" borderId="0" xfId="64" applyFont="1">
      <alignment/>
      <protection/>
    </xf>
    <xf numFmtId="0" fontId="0" fillId="0" borderId="0" xfId="64" applyFont="1" applyAlignment="1">
      <alignment horizontal="right"/>
      <protection/>
    </xf>
    <xf numFmtId="0" fontId="7" fillId="0" borderId="0" xfId="64" applyFont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10" fontId="5" fillId="0" borderId="0" xfId="69" applyNumberFormat="1" applyFont="1" applyAlignment="1" applyProtection="1">
      <alignment/>
      <protection locked="0"/>
    </xf>
    <xf numFmtId="10" fontId="5" fillId="0" borderId="0" xfId="64" applyNumberFormat="1" applyFont="1" applyFill="1" applyProtection="1">
      <alignment/>
      <protection locked="0"/>
    </xf>
    <xf numFmtId="38" fontId="87" fillId="0" borderId="0" xfId="0" applyNumberFormat="1" applyFont="1" applyAlignment="1" applyProtection="1">
      <alignment/>
      <protection/>
    </xf>
    <xf numFmtId="38" fontId="87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/>
    </xf>
    <xf numFmtId="0" fontId="0" fillId="16" borderId="0" xfId="64" applyFill="1" applyAlignment="1">
      <alignment horizontal="left"/>
      <protection/>
    </xf>
    <xf numFmtId="0" fontId="11" fillId="16" borderId="0" xfId="64" applyFont="1" applyFill="1" applyAlignment="1">
      <alignment horizontal="left"/>
      <protection/>
    </xf>
    <xf numFmtId="0" fontId="8" fillId="16" borderId="0" xfId="64" applyFont="1" applyFill="1">
      <alignment/>
      <protection/>
    </xf>
    <xf numFmtId="0" fontId="11" fillId="16" borderId="0" xfId="64" applyFont="1" applyFill="1" applyAlignment="1">
      <alignment horizontal="center"/>
      <protection/>
    </xf>
    <xf numFmtId="0" fontId="0" fillId="16" borderId="0" xfId="64" applyFont="1" applyFill="1" applyAlignment="1">
      <alignment horizontal="left"/>
      <protection/>
    </xf>
    <xf numFmtId="0" fontId="0" fillId="16" borderId="0" xfId="64" applyFont="1" applyFill="1">
      <alignment/>
      <protection/>
    </xf>
    <xf numFmtId="10" fontId="5" fillId="16" borderId="0" xfId="64" applyNumberFormat="1" applyFont="1" applyFill="1" applyProtection="1">
      <alignment/>
      <protection locked="0"/>
    </xf>
    <xf numFmtId="0" fontId="0" fillId="16" borderId="0" xfId="64" applyFont="1" applyFill="1" applyAlignment="1">
      <alignment horizontal="left"/>
      <protection/>
    </xf>
    <xf numFmtId="168" fontId="13" fillId="0" borderId="0" xfId="0" applyNumberFormat="1" applyFont="1" applyBorder="1" applyAlignment="1" applyProtection="1">
      <alignment/>
      <protection/>
    </xf>
    <xf numFmtId="6" fontId="87" fillId="0" borderId="0" xfId="0" applyNumberFormat="1" applyFont="1" applyBorder="1" applyAlignment="1" applyProtection="1">
      <alignment/>
      <protection/>
    </xf>
    <xf numFmtId="168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ill="1" applyBorder="1" applyAlignment="1">
      <alignment/>
    </xf>
    <xf numFmtId="168" fontId="13" fillId="0" borderId="0" xfId="42" applyNumberFormat="1" applyFont="1" applyBorder="1">
      <alignment/>
      <protection/>
    </xf>
    <xf numFmtId="0" fontId="7" fillId="0" borderId="13" xfId="64" applyFont="1" applyBorder="1">
      <alignment/>
      <protection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6" fontId="7" fillId="19" borderId="18" xfId="0" applyNumberFormat="1" applyFont="1" applyFill="1" applyBorder="1" applyAlignment="1" applyProtection="1">
      <alignment horizontal="center"/>
      <protection/>
    </xf>
    <xf numFmtId="6" fontId="7" fillId="19" borderId="19" xfId="0" applyNumberFormat="1" applyFont="1" applyFill="1" applyBorder="1" applyAlignment="1" applyProtection="1">
      <alignment horizontal="center"/>
      <protection/>
    </xf>
    <xf numFmtId="6" fontId="7" fillId="19" borderId="20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5" fontId="7" fillId="19" borderId="18" xfId="0" applyNumberFormat="1" applyFont="1" applyFill="1" applyBorder="1" applyAlignment="1" applyProtection="1">
      <alignment horizontal="center"/>
      <protection/>
    </xf>
    <xf numFmtId="5" fontId="7" fillId="19" borderId="19" xfId="0" applyNumberFormat="1" applyFont="1" applyFill="1" applyBorder="1" applyAlignment="1" applyProtection="1">
      <alignment horizontal="center"/>
      <protection/>
    </xf>
    <xf numFmtId="5" fontId="7" fillId="19" borderId="2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2" fillId="34" borderId="13" xfId="66" applyFont="1" applyFill="1" applyBorder="1" applyAlignment="1">
      <alignment horizontal="center"/>
      <protection/>
    </xf>
    <xf numFmtId="0" fontId="33" fillId="0" borderId="13" xfId="66" applyFont="1" applyBorder="1" applyAlignment="1">
      <alignment horizontal="center"/>
      <protection/>
    </xf>
    <xf numFmtId="0" fontId="32" fillId="0" borderId="0" xfId="66" applyFont="1" applyFill="1" applyBorder="1" applyAlignment="1">
      <alignment horizontal="center"/>
      <protection/>
    </xf>
    <xf numFmtId="0" fontId="7" fillId="0" borderId="0" xfId="0" applyFont="1" applyAlignment="1">
      <alignment horizontal="right"/>
    </xf>
    <xf numFmtId="0" fontId="32" fillId="34" borderId="0" xfId="66" applyFont="1" applyFill="1" applyAlignment="1">
      <alignment horizontal="center"/>
      <protection/>
    </xf>
    <xf numFmtId="0" fontId="32" fillId="34" borderId="0" xfId="66" applyFont="1" applyFill="1" applyAlignment="1">
      <alignment horizontal="center"/>
      <protection/>
    </xf>
    <xf numFmtId="0" fontId="33" fillId="0" borderId="0" xfId="66" applyFont="1" applyAlignment="1">
      <alignment horizontal="center"/>
      <protection/>
    </xf>
    <xf numFmtId="0" fontId="32" fillId="34" borderId="13" xfId="66" applyFont="1" applyFill="1" applyBorder="1" applyAlignment="1">
      <alignment horizontal="center"/>
      <protection/>
    </xf>
    <xf numFmtId="0" fontId="33" fillId="0" borderId="13" xfId="66" applyFont="1" applyBorder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Copy of Copy of ModBudSprdsht" xfId="63"/>
    <cellStyle name="Normal_Copy of FY06-FED" xfId="64"/>
    <cellStyle name="Normal_ModBudSprdsht-cal-fringes" xfId="65"/>
    <cellStyle name="Normal_person_months_conversion_chart_rev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0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rs.uc.edu/file_xls/PHS398%20Modular%20(09-04)%20BETA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rs.uc.edu/file_xls/ModBudSprdsht-cal-frin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Mod_Budget"/>
      <sheetName val="CHKLST"/>
      <sheetName val="Overview"/>
      <sheetName val="Budget Worksheet"/>
      <sheetName val="RATES"/>
      <sheetName val="NIH cap, other salary info"/>
      <sheetName val="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Ref"/>
    </sheetNames>
    <sheetDataSet>
      <sheetData sheetId="1">
        <row r="4">
          <cell r="C4">
            <v>1.03</v>
          </cell>
        </row>
        <row r="5">
          <cell r="C5">
            <v>1.03</v>
          </cell>
        </row>
        <row r="6">
          <cell r="C6">
            <v>1.03</v>
          </cell>
        </row>
        <row r="7">
          <cell r="C7">
            <v>1.03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1" sqref="A1"/>
    </sheetView>
  </sheetViews>
  <sheetFormatPr defaultColWidth="9.00390625" defaultRowHeight="15.75"/>
  <sheetData>
    <row r="1" s="77" customFormat="1" ht="18.75">
      <c r="A1" s="77" t="s">
        <v>101</v>
      </c>
    </row>
    <row r="3" s="71" customFormat="1" ht="15.75">
      <c r="A3" s="71" t="s">
        <v>94</v>
      </c>
    </row>
    <row r="4" ht="15.75">
      <c r="A4" t="s">
        <v>70</v>
      </c>
    </row>
    <row r="5" ht="15.75">
      <c r="B5" t="s">
        <v>78</v>
      </c>
    </row>
    <row r="6" spans="1:2" ht="19.5">
      <c r="A6" s="89" t="s">
        <v>103</v>
      </c>
      <c r="B6" s="94" t="s">
        <v>102</v>
      </c>
    </row>
    <row r="7" spans="1:2" ht="19.5">
      <c r="A7" s="95"/>
      <c r="B7" s="71" t="s">
        <v>116</v>
      </c>
    </row>
    <row r="9" ht="15.75">
      <c r="A9" t="s">
        <v>105</v>
      </c>
    </row>
    <row r="10" ht="15.75">
      <c r="B10" t="s">
        <v>170</v>
      </c>
    </row>
    <row r="11" ht="15.75">
      <c r="C11" t="s">
        <v>171</v>
      </c>
    </row>
    <row r="12" ht="15.75">
      <c r="B12" t="s">
        <v>172</v>
      </c>
    </row>
    <row r="13" ht="15.75">
      <c r="B13" t="s">
        <v>79</v>
      </c>
    </row>
    <row r="14" ht="15.75">
      <c r="B14" t="s">
        <v>80</v>
      </c>
    </row>
    <row r="15" ht="15.75">
      <c r="B15" t="s">
        <v>106</v>
      </c>
    </row>
    <row r="17" ht="15.75">
      <c r="B17" t="s">
        <v>81</v>
      </c>
    </row>
    <row r="18" ht="15.75">
      <c r="C18" t="s">
        <v>82</v>
      </c>
    </row>
    <row r="20" ht="15.75">
      <c r="B20" t="s">
        <v>95</v>
      </c>
    </row>
    <row r="21" ht="15.75">
      <c r="C21" t="s">
        <v>107</v>
      </c>
    </row>
    <row r="22" ht="15.75">
      <c r="C22" s="71" t="s">
        <v>108</v>
      </c>
    </row>
    <row r="23" ht="15.75">
      <c r="C23" s="71"/>
    </row>
    <row r="24" ht="15.75">
      <c r="B24" t="s">
        <v>113</v>
      </c>
    </row>
    <row r="25" ht="15.75">
      <c r="C25" s="71" t="s">
        <v>109</v>
      </c>
    </row>
    <row r="27" ht="15.75">
      <c r="B27" t="s">
        <v>83</v>
      </c>
    </row>
    <row r="29" spans="2:12" ht="15.75" customHeight="1">
      <c r="B29" s="262" t="s">
        <v>117</v>
      </c>
      <c r="C29" s="262"/>
      <c r="D29" s="262"/>
      <c r="E29" s="262"/>
      <c r="F29" s="262"/>
      <c r="G29" s="262"/>
      <c r="H29" s="262"/>
      <c r="I29" s="262"/>
      <c r="J29" s="262"/>
      <c r="K29" s="262"/>
      <c r="L29" s="262"/>
    </row>
    <row r="30" spans="2:12" ht="15.75"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</row>
    <row r="31" spans="2:12" ht="15.75" hidden="1"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</row>
    <row r="32" spans="2:12" ht="15.7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ht="15.75">
      <c r="B33" t="s">
        <v>110</v>
      </c>
    </row>
    <row r="34" ht="15.75">
      <c r="B34" t="s">
        <v>112</v>
      </c>
    </row>
    <row r="35" ht="15.75">
      <c r="C35" s="71" t="s">
        <v>71</v>
      </c>
    </row>
    <row r="36" spans="11:13" ht="15.75">
      <c r="K36" s="263">
        <f>'RATES-Non Fed'!Q67</f>
        <v>0</v>
      </c>
      <c r="L36" s="263"/>
      <c r="M36" s="263"/>
    </row>
    <row r="38" spans="2:12" ht="15.75">
      <c r="B38" s="262" t="s">
        <v>111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2"/>
    </row>
    <row r="39" spans="2:12" ht="15.75"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</row>
    <row r="40" spans="2:12" ht="15.7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 ht="15.75">
      <c r="B41" s="262" t="s">
        <v>114</v>
      </c>
      <c r="C41" s="262"/>
      <c r="D41" s="262"/>
      <c r="E41" s="262"/>
      <c r="F41" s="262"/>
      <c r="G41" s="262"/>
      <c r="H41" s="262"/>
      <c r="I41" s="262"/>
      <c r="J41" s="262"/>
      <c r="K41" s="262"/>
      <c r="L41" s="90"/>
    </row>
    <row r="42" spans="2:12" ht="15.7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ht="15.75">
      <c r="B43" t="s">
        <v>72</v>
      </c>
    </row>
    <row r="45" ht="15.75">
      <c r="B45" t="s">
        <v>73</v>
      </c>
    </row>
    <row r="47" ht="15.75">
      <c r="B47" t="s">
        <v>74</v>
      </c>
    </row>
    <row r="49" ht="15.75">
      <c r="B49" t="s">
        <v>75</v>
      </c>
    </row>
    <row r="50" ht="15.75">
      <c r="B50" t="s">
        <v>76</v>
      </c>
    </row>
    <row r="52" ht="15.75">
      <c r="B52" t="s">
        <v>77</v>
      </c>
    </row>
    <row r="53" ht="15.75">
      <c r="B53" s="71" t="s">
        <v>115</v>
      </c>
    </row>
    <row r="71" spans="11:13" ht="15.75">
      <c r="K71" s="263">
        <f>'RATES-Non Fed'!Q67</f>
        <v>0</v>
      </c>
      <c r="L71" s="263"/>
      <c r="M71" s="263"/>
    </row>
  </sheetData>
  <sheetProtection/>
  <mergeCells count="5">
    <mergeCell ref="B29:L31"/>
    <mergeCell ref="B38:L39"/>
    <mergeCell ref="B41:K41"/>
    <mergeCell ref="K36:M36"/>
    <mergeCell ref="K71:M71"/>
  </mergeCells>
  <printOptions/>
  <pageMargins left="0.49" right="0.51" top="0.49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84"/>
  <sheetViews>
    <sheetView showGridLines="0" zoomScale="75" zoomScaleNormal="75" workbookViewId="0" topLeftCell="A40">
      <selection activeCell="J71" sqref="J71"/>
    </sheetView>
  </sheetViews>
  <sheetFormatPr defaultColWidth="9.625" defaultRowHeight="15.75"/>
  <cols>
    <col min="1" max="1" width="2.625" style="0" customWidth="1"/>
    <col min="2" max="2" width="31.00390625" style="0" bestFit="1" customWidth="1"/>
    <col min="3" max="3" width="20.50390625" style="0" customWidth="1"/>
    <col min="4" max="4" width="16.125" style="0" customWidth="1"/>
    <col min="5" max="5" width="8.75390625" style="0" customWidth="1"/>
    <col min="6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5" bestFit="1" customWidth="1"/>
    <col min="12" max="12" width="10.125" style="185" bestFit="1" customWidth="1"/>
    <col min="13" max="13" width="14.625" style="0" customWidth="1"/>
    <col min="14" max="14" width="2.625" style="0" customWidth="1"/>
  </cols>
  <sheetData>
    <row r="1" spans="1:11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1"/>
    </row>
    <row r="2" spans="1:12" ht="18.75">
      <c r="A2" s="17" t="s">
        <v>180</v>
      </c>
      <c r="B2" s="18"/>
      <c r="C2" s="18"/>
      <c r="D2" s="18"/>
      <c r="E2" s="18"/>
      <c r="F2" s="18"/>
      <c r="G2" s="18"/>
      <c r="H2" s="18"/>
      <c r="I2" s="18"/>
      <c r="J2" s="19"/>
      <c r="K2" s="151"/>
      <c r="L2" s="173"/>
    </row>
    <row r="3" spans="1:13" ht="9.75" customHeight="1">
      <c r="A3" s="10" t="s">
        <v>1</v>
      </c>
      <c r="B3" s="1"/>
      <c r="J3" s="11" t="s">
        <v>1</v>
      </c>
      <c r="K3" s="152"/>
      <c r="L3" s="174"/>
      <c r="M3" s="8"/>
    </row>
    <row r="4" spans="1:15" ht="15.75">
      <c r="A4" s="22" t="s">
        <v>2</v>
      </c>
      <c r="B4" s="1"/>
      <c r="D4" s="10" t="s">
        <v>69</v>
      </c>
      <c r="G4" s="3"/>
      <c r="I4" s="199" t="s">
        <v>69</v>
      </c>
      <c r="J4" s="20" t="s">
        <v>3</v>
      </c>
      <c r="K4" s="267" t="s">
        <v>69</v>
      </c>
      <c r="L4" s="268"/>
      <c r="M4" s="268"/>
      <c r="N4" s="268"/>
      <c r="O4" s="269"/>
    </row>
    <row r="5" spans="1:15" ht="18.75" customHeight="1">
      <c r="A5" s="22" t="s">
        <v>4</v>
      </c>
      <c r="B5" s="1"/>
      <c r="D5" s="10" t="s">
        <v>69</v>
      </c>
      <c r="E5" s="3"/>
      <c r="F5" s="3"/>
      <c r="H5" s="38"/>
      <c r="I5" s="201"/>
      <c r="K5" s="270"/>
      <c r="L5" s="271"/>
      <c r="M5" s="271"/>
      <c r="N5" s="271"/>
      <c r="O5" s="272"/>
    </row>
    <row r="6" spans="1:13" ht="15.75">
      <c r="A6" s="14"/>
      <c r="B6" s="22" t="s">
        <v>5</v>
      </c>
      <c r="D6" s="73">
        <f>'RATES-Non Fed'!E2</f>
        <v>42917</v>
      </c>
      <c r="E6" s="12" t="s">
        <v>6</v>
      </c>
      <c r="F6" s="12"/>
      <c r="G6" s="73">
        <f>'RATES-Non Fed'!G2</f>
        <v>44742</v>
      </c>
      <c r="H6" s="4"/>
      <c r="I6" s="4"/>
      <c r="J6" s="2"/>
      <c r="K6" s="153"/>
      <c r="L6" s="175"/>
      <c r="M6" s="8"/>
    </row>
    <row r="7" spans="5:14" ht="7.5" customHeight="1">
      <c r="E7" s="3"/>
      <c r="F7" s="3"/>
      <c r="G7" s="1"/>
      <c r="H7" s="1"/>
      <c r="I7" s="1"/>
      <c r="J7" s="16" t="s">
        <v>1</v>
      </c>
      <c r="K7" s="152"/>
      <c r="L7" s="174"/>
      <c r="M7" s="8"/>
      <c r="N7" s="1"/>
    </row>
    <row r="8" spans="1:14" ht="15.75">
      <c r="A8" s="21"/>
      <c r="B8" s="144" t="s">
        <v>10</v>
      </c>
      <c r="C8" s="21"/>
      <c r="D8" s="21"/>
      <c r="E8" s="21"/>
      <c r="F8" s="21"/>
      <c r="G8" s="21"/>
      <c r="H8" s="21"/>
      <c r="I8" s="21"/>
      <c r="J8" s="264" t="s">
        <v>21</v>
      </c>
      <c r="K8" s="265"/>
      <c r="L8" s="266"/>
      <c r="M8" s="171" t="s">
        <v>8</v>
      </c>
      <c r="N8" s="21"/>
    </row>
    <row r="9" spans="1:14" s="146" customFormat="1" ht="15.75">
      <c r="A9" s="144" t="s">
        <v>9</v>
      </c>
      <c r="B9" s="33" t="s">
        <v>229</v>
      </c>
      <c r="C9" s="144"/>
      <c r="D9" s="144"/>
      <c r="E9" s="144"/>
      <c r="F9" s="144"/>
      <c r="G9" s="144"/>
      <c r="H9" s="144"/>
      <c r="I9" s="144"/>
      <c r="J9" s="189" t="s">
        <v>173</v>
      </c>
      <c r="K9" s="154" t="s">
        <v>174</v>
      </c>
      <c r="L9" s="144" t="s">
        <v>175</v>
      </c>
      <c r="M9" s="145"/>
      <c r="N9" s="144"/>
    </row>
    <row r="10" spans="1:14" ht="15.75">
      <c r="A10" s="1"/>
      <c r="C10" s="24"/>
      <c r="D10" s="24" t="s">
        <v>99</v>
      </c>
      <c r="E10" s="1" t="s">
        <v>12</v>
      </c>
      <c r="F10" s="41" t="s">
        <v>125</v>
      </c>
      <c r="G10" s="41" t="s">
        <v>13</v>
      </c>
      <c r="H10" s="1"/>
      <c r="I10" s="1"/>
      <c r="J10" s="190"/>
      <c r="K10" s="152"/>
      <c r="L10" s="142"/>
      <c r="M10" s="2">
        <f>IF(SUM(J10:L10)=0,"",SUM(J10:L10))</f>
      </c>
      <c r="N10" s="1"/>
    </row>
    <row r="11" spans="1:14" ht="15.75">
      <c r="A11" s="1"/>
      <c r="B11" s="1" t="s">
        <v>14</v>
      </c>
      <c r="C11" s="10" t="str">
        <f>D5</f>
        <v>name</v>
      </c>
      <c r="D11" s="140" t="s">
        <v>127</v>
      </c>
      <c r="E11" s="70">
        <v>0</v>
      </c>
      <c r="F11" s="99">
        <f aca="true" t="shared" si="0" ref="F11:F17">IF(D11="CAL",(52*E11/4.3333),(IF(D11="ACAD",(32*E11/4.33333),IF(D11="SUMR",(14*E11/4.33333),IF(D11="PT",(0),0)))))</f>
        <v>0</v>
      </c>
      <c r="G11" s="69">
        <v>0</v>
      </c>
      <c r="J11" s="187">
        <f>ROUND(G11*E11,0)</f>
        <v>0</v>
      </c>
      <c r="K11" s="155">
        <f>ROUND(J11*'RATES-Non Fed'!E38,0)</f>
        <v>0</v>
      </c>
      <c r="L11" s="67">
        <f>ROUND(K11+J11,0)</f>
        <v>0</v>
      </c>
      <c r="M11" s="42">
        <f>SUM(L11)</f>
        <v>0</v>
      </c>
      <c r="N11" s="1"/>
    </row>
    <row r="12" spans="1:14" ht="15.75">
      <c r="A12" s="1"/>
      <c r="B12" s="1" t="s">
        <v>14</v>
      </c>
      <c r="C12" s="3"/>
      <c r="D12" s="140" t="str">
        <f>IF(D11="ACAD",("SUMR"),"")</f>
        <v>SUMR</v>
      </c>
      <c r="E12" s="70">
        <v>0</v>
      </c>
      <c r="F12" s="99">
        <f t="shared" si="0"/>
        <v>0</v>
      </c>
      <c r="G12" s="69">
        <f>+G11*0.4375</f>
        <v>0</v>
      </c>
      <c r="J12" s="187">
        <f aca="true" t="shared" si="1" ref="J12:J17">ROUND(G12*E12,0)</f>
        <v>0</v>
      </c>
      <c r="K12" s="155">
        <f>ROUND(J12*'RATES-Non Fed'!E38,0)</f>
        <v>0</v>
      </c>
      <c r="L12" s="67">
        <f aca="true" t="shared" si="2" ref="L12:L17">ROUND(K12+J12,0)</f>
        <v>0</v>
      </c>
      <c r="M12" s="42">
        <f aca="true" t="shared" si="3" ref="M12:M17">SUM(L12)</f>
        <v>0</v>
      </c>
      <c r="N12" s="1"/>
    </row>
    <row r="13" spans="1:14" ht="15.75">
      <c r="A13" s="1"/>
      <c r="B13" s="1" t="s">
        <v>15</v>
      </c>
      <c r="C13" s="3"/>
      <c r="D13" s="140" t="s">
        <v>127</v>
      </c>
      <c r="E13" s="70">
        <v>0</v>
      </c>
      <c r="F13" s="99">
        <f t="shared" si="0"/>
        <v>0</v>
      </c>
      <c r="G13" s="69">
        <v>0</v>
      </c>
      <c r="J13" s="187">
        <f t="shared" si="1"/>
        <v>0</v>
      </c>
      <c r="K13" s="155">
        <f>ROUND(J13*'RATES-Non Fed'!E38,0)</f>
        <v>0</v>
      </c>
      <c r="L13" s="67">
        <f t="shared" si="2"/>
        <v>0</v>
      </c>
      <c r="M13" s="42">
        <f t="shared" si="3"/>
        <v>0</v>
      </c>
      <c r="N13" s="1"/>
    </row>
    <row r="14" spans="1:13" ht="15.75">
      <c r="A14" s="1"/>
      <c r="B14" s="1"/>
      <c r="C14" s="3"/>
      <c r="D14" s="140" t="str">
        <f>IF(D13="ACAD",("SUMR"),"")</f>
        <v>SUMR</v>
      </c>
      <c r="E14" s="70">
        <v>0</v>
      </c>
      <c r="F14" s="99">
        <f t="shared" si="0"/>
        <v>0</v>
      </c>
      <c r="G14" s="69">
        <f>+G13*0.4375</f>
        <v>0</v>
      </c>
      <c r="J14" s="187">
        <f t="shared" si="1"/>
        <v>0</v>
      </c>
      <c r="K14" s="155">
        <f>ROUND(J14*'RATES-Non Fed'!E38,0)</f>
        <v>0</v>
      </c>
      <c r="L14" s="67">
        <f t="shared" si="2"/>
        <v>0</v>
      </c>
      <c r="M14" s="42">
        <f t="shared" si="3"/>
        <v>0</v>
      </c>
    </row>
    <row r="15" spans="1:14" ht="15.75">
      <c r="A15" s="1"/>
      <c r="B15" s="1" t="s">
        <v>15</v>
      </c>
      <c r="C15" s="3"/>
      <c r="D15" s="140" t="s">
        <v>126</v>
      </c>
      <c r="E15" s="70">
        <v>0</v>
      </c>
      <c r="F15" s="99">
        <f t="shared" si="0"/>
        <v>0</v>
      </c>
      <c r="G15" s="69">
        <v>0</v>
      </c>
      <c r="J15" s="187">
        <f t="shared" si="1"/>
        <v>0</v>
      </c>
      <c r="K15" s="155">
        <f>ROUND(J15*'RATES-Non Fed'!E38,0)</f>
        <v>0</v>
      </c>
      <c r="L15" s="67">
        <f t="shared" si="2"/>
        <v>0</v>
      </c>
      <c r="M15" s="42">
        <f t="shared" si="3"/>
        <v>0</v>
      </c>
      <c r="N15" s="1"/>
    </row>
    <row r="16" spans="1:14" ht="15.75">
      <c r="A16" s="1"/>
      <c r="B16" s="1" t="s">
        <v>15</v>
      </c>
      <c r="C16" s="3"/>
      <c r="D16" s="140" t="s">
        <v>126</v>
      </c>
      <c r="E16" s="70">
        <v>0</v>
      </c>
      <c r="F16" s="99">
        <f t="shared" si="0"/>
        <v>0</v>
      </c>
      <c r="G16" s="69">
        <v>0</v>
      </c>
      <c r="J16" s="187">
        <f t="shared" si="1"/>
        <v>0</v>
      </c>
      <c r="K16" s="155">
        <f>ROUND(J16*'RATES-Non Fed'!E38,0)</f>
        <v>0</v>
      </c>
      <c r="L16" s="67">
        <f t="shared" si="2"/>
        <v>0</v>
      </c>
      <c r="M16" s="42">
        <f t="shared" si="3"/>
        <v>0</v>
      </c>
      <c r="N16" s="1"/>
    </row>
    <row r="17" spans="1:13" ht="15.75">
      <c r="A17" s="1"/>
      <c r="B17" s="1" t="s">
        <v>15</v>
      </c>
      <c r="C17" s="3"/>
      <c r="D17" s="140" t="s">
        <v>126</v>
      </c>
      <c r="E17" s="70">
        <v>0</v>
      </c>
      <c r="F17" s="99">
        <f t="shared" si="0"/>
        <v>0</v>
      </c>
      <c r="G17" s="69">
        <v>0</v>
      </c>
      <c r="J17" s="202">
        <f t="shared" si="1"/>
        <v>0</v>
      </c>
      <c r="K17" s="207">
        <f>ROUND(J17*'RATES-Non Fed'!E38,0)</f>
        <v>0</v>
      </c>
      <c r="L17" s="208">
        <f t="shared" si="2"/>
        <v>0</v>
      </c>
      <c r="M17" s="205">
        <f t="shared" si="3"/>
        <v>0</v>
      </c>
    </row>
    <row r="18" spans="1:14" ht="15.75">
      <c r="A18" s="1"/>
      <c r="B18" s="1"/>
      <c r="C18" s="246"/>
      <c r="D18" s="25" t="s">
        <v>230</v>
      </c>
      <c r="E18" s="26"/>
      <c r="F18" s="26"/>
      <c r="G18" s="1"/>
      <c r="H18" s="1"/>
      <c r="I18" s="1"/>
      <c r="J18" s="206">
        <f>SUM(J11:J17)</f>
        <v>0</v>
      </c>
      <c r="K18" s="156">
        <f>SUM(K11:K17)</f>
        <v>0</v>
      </c>
      <c r="L18" s="46">
        <f>SUM(L11:L17)</f>
        <v>0</v>
      </c>
      <c r="M18" s="42">
        <f>SUM(M11:M17)</f>
        <v>0</v>
      </c>
      <c r="N18" s="6"/>
    </row>
    <row r="19" spans="1:14" ht="15.75">
      <c r="A19" s="246" t="s">
        <v>226</v>
      </c>
      <c r="B19" s="21" t="s">
        <v>227</v>
      </c>
      <c r="C19" s="1"/>
      <c r="D19" s="25"/>
      <c r="E19" s="26"/>
      <c r="F19" s="26"/>
      <c r="G19" s="1"/>
      <c r="H19" s="1"/>
      <c r="I19" s="1"/>
      <c r="J19" s="206"/>
      <c r="K19" s="156"/>
      <c r="L19" s="46"/>
      <c r="M19" s="42"/>
      <c r="N19" s="6"/>
    </row>
    <row r="20" spans="1:14" ht="15.75">
      <c r="A20" s="1"/>
      <c r="B20" s="1" t="s">
        <v>15</v>
      </c>
      <c r="C20" s="3"/>
      <c r="D20" s="140" t="s">
        <v>126</v>
      </c>
      <c r="E20" s="70">
        <v>0</v>
      </c>
      <c r="F20" s="99">
        <f>IF(D20="CAL",(52*E20/4.3333),(IF(D20="ACAD",(32*E20/4.33333),IF(D20="SUMR",(14*E20/4.33333),IF(D20="PT",(0),0)))))</f>
        <v>0</v>
      </c>
      <c r="G20" s="69">
        <v>0</v>
      </c>
      <c r="J20" s="187">
        <f>ROUND(G20*E20,0)</f>
        <v>0</v>
      </c>
      <c r="K20" s="155">
        <f>ROUND(J20*'RATES-Non Fed'!E40,0)</f>
        <v>0</v>
      </c>
      <c r="L20" s="67">
        <f>ROUND(K20+J20,0)</f>
        <v>0</v>
      </c>
      <c r="M20" s="42">
        <f>SUM(L20)</f>
        <v>0</v>
      </c>
      <c r="N20" s="1"/>
    </row>
    <row r="21" spans="1:14" ht="15.75">
      <c r="A21" s="1"/>
      <c r="B21" s="1" t="s">
        <v>15</v>
      </c>
      <c r="C21" s="3"/>
      <c r="D21" s="140" t="s">
        <v>126</v>
      </c>
      <c r="E21" s="70">
        <v>0</v>
      </c>
      <c r="F21" s="99">
        <f>IF(D21="CAL",(52*E21/4.3333),(IF(D21="ACAD",(32*E21/4.33333),IF(D21="SUMR",(14*E21/4.33333),IF(D21="PT",(0),0)))))</f>
        <v>0</v>
      </c>
      <c r="G21" s="69">
        <v>0</v>
      </c>
      <c r="J21" s="187">
        <f>ROUND(G21*E21,0)</f>
        <v>0</v>
      </c>
      <c r="K21" s="155">
        <f>ROUND(J21*'RATES-Non Fed'!E40,0)</f>
        <v>0</v>
      </c>
      <c r="L21" s="67">
        <f>ROUND(K21+J21,0)</f>
        <v>0</v>
      </c>
      <c r="M21" s="42">
        <f>SUM(L21)</f>
        <v>0</v>
      </c>
      <c r="N21" s="1"/>
    </row>
    <row r="22" spans="1:14" ht="15.75">
      <c r="A22" s="1"/>
      <c r="B22" s="1" t="s">
        <v>15</v>
      </c>
      <c r="C22" s="3"/>
      <c r="D22" s="140" t="s">
        <v>126</v>
      </c>
      <c r="E22" s="70">
        <v>0</v>
      </c>
      <c r="F22" s="99">
        <f>IF(D22="CAL",(52*E22/4.3333),(IF(D22="ACAD",(32*E22/4.33333),IF(D22="SUMR",(14*E22/4.33333),IF(D22="PT",(0),0)))))</f>
        <v>0</v>
      </c>
      <c r="G22" s="69">
        <v>0</v>
      </c>
      <c r="J22" s="187">
        <f>ROUND(G22*E22,0)</f>
        <v>0</v>
      </c>
      <c r="K22" s="155">
        <f>ROUND(J22*'RATES-Non Fed'!E40,0)</f>
        <v>0</v>
      </c>
      <c r="L22" s="67">
        <f>ROUND(K22+J22,0)</f>
        <v>0</v>
      </c>
      <c r="M22" s="42">
        <f>SUM(L22)</f>
        <v>0</v>
      </c>
      <c r="N22" s="1"/>
    </row>
    <row r="23" spans="1:13" ht="15.75">
      <c r="A23" s="1"/>
      <c r="B23" s="1" t="s">
        <v>15</v>
      </c>
      <c r="C23" s="3"/>
      <c r="D23" s="140" t="s">
        <v>126</v>
      </c>
      <c r="E23" s="70">
        <v>0</v>
      </c>
      <c r="F23" s="99">
        <f>IF(D23="CAL",(52*E23/4.3333),(IF(D23="ACAD",(32*E23/4.33333),IF(D23="SUMR",(14*E23/4.33333),IF(D23="PT",(0),0)))))</f>
        <v>0</v>
      </c>
      <c r="G23" s="69">
        <v>0</v>
      </c>
      <c r="J23" s="202">
        <f>ROUND(G23*E23,0)</f>
        <v>0</v>
      </c>
      <c r="K23" s="207">
        <f>ROUND(J23*'RATES-Non Fed'!E40,0)</f>
        <v>0</v>
      </c>
      <c r="L23" s="208">
        <f>ROUND(K23+J23,0)</f>
        <v>0</v>
      </c>
      <c r="M23" s="205">
        <f>SUM(L23)</f>
        <v>0</v>
      </c>
    </row>
    <row r="24" spans="1:14" ht="15.75">
      <c r="A24" s="1"/>
      <c r="B24" s="1"/>
      <c r="C24" s="1"/>
      <c r="D24" s="25" t="s">
        <v>231</v>
      </c>
      <c r="E24" s="26"/>
      <c r="F24" s="26"/>
      <c r="G24" s="1"/>
      <c r="H24" s="1"/>
      <c r="I24" s="1"/>
      <c r="J24" s="206">
        <f>SUM(J20:J23)</f>
        <v>0</v>
      </c>
      <c r="K24" s="156">
        <f>SUM(K20:K23)</f>
        <v>0</v>
      </c>
      <c r="L24" s="46">
        <f>SUM(L20:L23)</f>
        <v>0</v>
      </c>
      <c r="M24" s="42">
        <f>SUM(M20:M23)</f>
        <v>0</v>
      </c>
      <c r="N24" s="6"/>
    </row>
    <row r="25" spans="1:14" ht="7.5" customHeight="1">
      <c r="A25" s="1"/>
      <c r="B25" s="1"/>
      <c r="C25" s="1"/>
      <c r="D25" s="26"/>
      <c r="E25" s="26"/>
      <c r="F25" s="26"/>
      <c r="G25" s="1"/>
      <c r="H25" s="1"/>
      <c r="I25" s="1"/>
      <c r="J25" s="192"/>
      <c r="K25" s="156"/>
      <c r="L25" s="46"/>
      <c r="M25" s="42"/>
      <c r="N25" s="6"/>
    </row>
    <row r="26" spans="1:14" ht="15.75">
      <c r="A26" s="22" t="s">
        <v>228</v>
      </c>
      <c r="B26" s="22" t="s">
        <v>17</v>
      </c>
      <c r="C26" s="1"/>
      <c r="D26" s="26"/>
      <c r="E26" s="1"/>
      <c r="F26" s="1"/>
      <c r="G26" s="41"/>
      <c r="H26" s="1"/>
      <c r="I26" s="1"/>
      <c r="J26" s="190"/>
      <c r="K26" s="152"/>
      <c r="L26" s="142"/>
      <c r="M26" s="42"/>
      <c r="N26" s="6"/>
    </row>
    <row r="27" spans="1:14" ht="15.75">
      <c r="A27" s="1"/>
      <c r="C27" s="13" t="s">
        <v>86</v>
      </c>
      <c r="D27" s="41" t="s">
        <v>123</v>
      </c>
      <c r="E27" s="68"/>
      <c r="F27" s="68"/>
      <c r="G27" s="59"/>
      <c r="J27" s="187"/>
      <c r="K27" s="157"/>
      <c r="L27" s="50"/>
      <c r="M27" s="42"/>
      <c r="N27" s="5"/>
    </row>
    <row r="28" spans="1:14" ht="15.75">
      <c r="A28" s="1"/>
      <c r="C28" s="13"/>
      <c r="D28" s="1"/>
      <c r="E28" s="70">
        <v>0</v>
      </c>
      <c r="F28" s="98">
        <f>SUM(52*E28/4.33)</f>
        <v>0</v>
      </c>
      <c r="G28" s="69">
        <v>0</v>
      </c>
      <c r="J28" s="187">
        <f>ROUND(G28*E28,0)</f>
        <v>0</v>
      </c>
      <c r="K28" s="157">
        <f>ROUND(J28*'RATES-Non Fed'!E39,0)</f>
        <v>0</v>
      </c>
      <c r="L28" s="50">
        <f>SUM(J28:K28)</f>
        <v>0</v>
      </c>
      <c r="M28" s="42">
        <f>SUM(L28)</f>
        <v>0</v>
      </c>
      <c r="N28" s="5"/>
    </row>
    <row r="29" spans="1:14" ht="15.75">
      <c r="A29" s="1"/>
      <c r="C29" s="13"/>
      <c r="D29" s="1"/>
      <c r="E29" s="70">
        <v>0</v>
      </c>
      <c r="F29" s="98">
        <f>SUM(52*E29/4.33)</f>
        <v>0</v>
      </c>
      <c r="G29" s="69">
        <v>0</v>
      </c>
      <c r="J29" s="187">
        <f>ROUND(G29*E29,0)</f>
        <v>0</v>
      </c>
      <c r="K29" s="157">
        <f>ROUND(J29*'RATES-Non Fed'!E39,0)</f>
        <v>0</v>
      </c>
      <c r="L29" s="50">
        <f>SUM(J29:K29)</f>
        <v>0</v>
      </c>
      <c r="M29" s="42">
        <f>SUM(L29)</f>
        <v>0</v>
      </c>
      <c r="N29" s="5"/>
    </row>
    <row r="30" spans="1:14" ht="15.75">
      <c r="A30" s="1"/>
      <c r="C30" s="13"/>
      <c r="D30" s="1"/>
      <c r="E30" s="70">
        <v>0</v>
      </c>
      <c r="F30" s="98">
        <f>SUM(52*E30/4.33)</f>
        <v>0</v>
      </c>
      <c r="G30" s="69">
        <v>0</v>
      </c>
      <c r="J30" s="187">
        <f>ROUND(G30*E30,0)</f>
        <v>0</v>
      </c>
      <c r="K30" s="157">
        <f>ROUND(J30*'RATES-Non Fed'!E39,0)</f>
        <v>0</v>
      </c>
      <c r="L30" s="50">
        <f>SUM(J30:K30)</f>
        <v>0</v>
      </c>
      <c r="M30" s="42">
        <f>SUM(L30)</f>
        <v>0</v>
      </c>
      <c r="N30" s="5"/>
    </row>
    <row r="31" spans="1:14" ht="15.75">
      <c r="A31" s="1"/>
      <c r="C31" s="13"/>
      <c r="D31" s="1"/>
      <c r="E31" s="70">
        <v>0</v>
      </c>
      <c r="F31" s="98">
        <f>SUM(52*E31/4.33)</f>
        <v>0</v>
      </c>
      <c r="G31" s="69">
        <v>0</v>
      </c>
      <c r="J31" s="202">
        <f>ROUND(G31*E31,0)</f>
        <v>0</v>
      </c>
      <c r="K31" s="203">
        <f>ROUND(J31*'RATES-Non Fed'!E39,0)</f>
        <v>0</v>
      </c>
      <c r="L31" s="204">
        <f>SUM(J31:K31)</f>
        <v>0</v>
      </c>
      <c r="M31" s="205">
        <f>SUM(L31)</f>
        <v>0</v>
      </c>
      <c r="N31" s="5"/>
    </row>
    <row r="32" spans="1:14" ht="15.75">
      <c r="A32" s="1"/>
      <c r="C32" s="13"/>
      <c r="D32" s="1" t="s">
        <v>124</v>
      </c>
      <c r="E32" s="70"/>
      <c r="F32" s="70"/>
      <c r="G32" s="69"/>
      <c r="J32" s="193">
        <f>SUM(J28:J31)</f>
        <v>0</v>
      </c>
      <c r="K32" s="157">
        <f>SUM(K28:K31)</f>
        <v>0</v>
      </c>
      <c r="L32" s="50">
        <f>SUM(L28:L31)</f>
        <v>0</v>
      </c>
      <c r="M32" s="42">
        <f>SUM(M28:M31)</f>
        <v>0</v>
      </c>
      <c r="N32" s="5"/>
    </row>
    <row r="33" spans="1:14" ht="9.75" customHeight="1">
      <c r="A33" s="1"/>
      <c r="C33" s="13"/>
      <c r="D33" s="1"/>
      <c r="E33" s="70"/>
      <c r="F33" s="70"/>
      <c r="G33" s="69"/>
      <c r="J33" s="193"/>
      <c r="K33" s="157"/>
      <c r="L33" s="50"/>
      <c r="M33" s="42"/>
      <c r="N33" s="5"/>
    </row>
    <row r="34" spans="1:14" ht="15.75">
      <c r="A34" s="1"/>
      <c r="C34" s="13" t="s">
        <v>87</v>
      </c>
      <c r="D34" s="1"/>
      <c r="E34" s="70">
        <v>0</v>
      </c>
      <c r="F34" s="98">
        <f>SUM(52*E34/4.33)</f>
        <v>0</v>
      </c>
      <c r="G34" s="69">
        <v>0</v>
      </c>
      <c r="J34" s="187">
        <f>ROUND(G34*E34,0)</f>
        <v>0</v>
      </c>
      <c r="K34" s="157">
        <f>ROUND(J34*'RATES-Non Fed'!E43,0)</f>
        <v>0</v>
      </c>
      <c r="L34" s="50">
        <f>SUM(J34:K34)</f>
        <v>0</v>
      </c>
      <c r="M34" s="42">
        <f>SUM(L34)</f>
        <v>0</v>
      </c>
      <c r="N34" s="5"/>
    </row>
    <row r="35" spans="1:14" ht="15.75">
      <c r="A35" s="1"/>
      <c r="C35" s="13" t="s">
        <v>18</v>
      </c>
      <c r="D35" s="1"/>
      <c r="E35" s="70">
        <v>0</v>
      </c>
      <c r="F35" s="98">
        <f>SUM(52*E35/4.33)</f>
        <v>0</v>
      </c>
      <c r="G35" s="69">
        <v>0</v>
      </c>
      <c r="J35" s="187">
        <f>ROUND(G35*E35,0)</f>
        <v>0</v>
      </c>
      <c r="K35" s="157">
        <f>ROUND(J35*'RATES-Non Fed'!E42,0)</f>
        <v>0</v>
      </c>
      <c r="L35" s="50">
        <f>SUM(J35:K35)</f>
        <v>0</v>
      </c>
      <c r="M35" s="42">
        <f>SUM(L35)</f>
        <v>0</v>
      </c>
      <c r="N35" s="5"/>
    </row>
    <row r="36" spans="1:14" ht="15.75">
      <c r="A36" s="1"/>
      <c r="C36" s="13" t="s">
        <v>19</v>
      </c>
      <c r="D36" s="1"/>
      <c r="E36" s="70">
        <v>0</v>
      </c>
      <c r="F36" s="98">
        <f>SUM(52*E36/4.33)</f>
        <v>0</v>
      </c>
      <c r="G36" s="69">
        <v>0</v>
      </c>
      <c r="J36" s="187">
        <f>ROUND(G36*E36,0)</f>
        <v>0</v>
      </c>
      <c r="K36" s="157">
        <f>ROUND(J36*'RATES-Non Fed'!E42,0)</f>
        <v>0</v>
      </c>
      <c r="L36" s="50">
        <f>SUM(J36:K36)</f>
        <v>0</v>
      </c>
      <c r="M36" s="42">
        <f>SUM(L36)</f>
        <v>0</v>
      </c>
      <c r="N36" s="5"/>
    </row>
    <row r="37" spans="1:14" s="94" customFormat="1" ht="15.75">
      <c r="A37" s="142"/>
      <c r="C37" s="141" t="s">
        <v>20</v>
      </c>
      <c r="D37" s="142"/>
      <c r="E37" s="70">
        <v>0</v>
      </c>
      <c r="F37" s="98">
        <f>SUM(52*E37/4.33)</f>
        <v>0</v>
      </c>
      <c r="G37" s="69">
        <v>0</v>
      </c>
      <c r="J37" s="187">
        <f>ROUND(G37*E37,0)</f>
        <v>0</v>
      </c>
      <c r="K37" s="157">
        <f>ROUND(J37*'RATES-Non Fed'!E43,0)</f>
        <v>0</v>
      </c>
      <c r="L37" s="50">
        <f>SUM(J37:K37)</f>
        <v>0</v>
      </c>
      <c r="M37" s="42">
        <f>SUM(L37)</f>
        <v>0</v>
      </c>
      <c r="N37" s="149"/>
    </row>
    <row r="38" spans="1:14" s="94" customFormat="1" ht="15.75">
      <c r="A38" s="142"/>
      <c r="C38" s="141" t="s">
        <v>88</v>
      </c>
      <c r="D38" s="142"/>
      <c r="E38" s="70">
        <v>0</v>
      </c>
      <c r="F38" s="98">
        <f>SUM(52*E38/4.33)</f>
        <v>0</v>
      </c>
      <c r="G38" s="69">
        <v>0</v>
      </c>
      <c r="J38" s="202">
        <f>ROUND(G38*E38,0)</f>
        <v>0</v>
      </c>
      <c r="K38" s="203">
        <f>ROUND(J38*'RATES-Non Fed'!E41,0)</f>
        <v>0</v>
      </c>
      <c r="L38" s="204">
        <f>SUM(J38:K38)</f>
        <v>0</v>
      </c>
      <c r="M38" s="205">
        <f>SUM(L38)</f>
        <v>0</v>
      </c>
      <c r="N38" s="149"/>
    </row>
    <row r="39" spans="1:14" ht="15.75">
      <c r="A39" s="1"/>
      <c r="B39" s="1"/>
      <c r="C39" s="1"/>
      <c r="D39" s="188" t="s">
        <v>176</v>
      </c>
      <c r="E39" s="26"/>
      <c r="F39" s="26"/>
      <c r="G39" s="1"/>
      <c r="H39" s="1"/>
      <c r="I39" s="1"/>
      <c r="J39" s="209">
        <f>SUM(J18+J24+J32+J34+J35+J36+J37+J38)</f>
        <v>0</v>
      </c>
      <c r="K39" s="157">
        <f>SUM(K18+K24+K32+K34+K35+K36+K37+K38)</f>
        <v>0</v>
      </c>
      <c r="L39" s="50">
        <f>SUM(L34:L38)</f>
        <v>0</v>
      </c>
      <c r="M39" s="42">
        <f>SUM(M34:M38)</f>
        <v>0</v>
      </c>
      <c r="N39" s="5"/>
    </row>
    <row r="40" spans="1:14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6"/>
      <c r="L40" s="176"/>
      <c r="M40" s="64" t="s">
        <v>1</v>
      </c>
      <c r="N40" s="6"/>
    </row>
    <row r="41" spans="1:14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8"/>
      <c r="L41" s="178"/>
      <c r="M41" s="47">
        <f>SUM(J41)</f>
        <v>0</v>
      </c>
      <c r="N41" s="29"/>
    </row>
    <row r="42" spans="1:14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6"/>
      <c r="L42" s="176"/>
      <c r="M42" s="46" t="s">
        <v>1</v>
      </c>
      <c r="N42" s="6"/>
    </row>
    <row r="43" spans="1:14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6"/>
      <c r="L43" s="176"/>
      <c r="M43" s="50" t="s">
        <v>1</v>
      </c>
      <c r="N43" s="6"/>
    </row>
    <row r="44" spans="1:14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6"/>
      <c r="L44" s="176"/>
      <c r="M44" s="42">
        <f>SUM(J44:L44)</f>
        <v>0</v>
      </c>
      <c r="N44" s="6"/>
    </row>
    <row r="45" spans="1:14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6"/>
      <c r="L45" s="176"/>
      <c r="M45" s="42">
        <f>SUM(J45:L45)</f>
        <v>0</v>
      </c>
      <c r="N45" s="6"/>
    </row>
    <row r="46" spans="1:14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9"/>
      <c r="L46" s="179"/>
      <c r="M46" s="53">
        <f>SUM(J46:L46)</f>
        <v>0</v>
      </c>
      <c r="N46" s="29"/>
    </row>
    <row r="47" spans="1:14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6"/>
      <c r="L47" s="176"/>
      <c r="M47" s="46"/>
      <c r="N47" s="6"/>
    </row>
    <row r="48" spans="1:14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7"/>
      <c r="L48" s="177"/>
      <c r="M48" s="45"/>
      <c r="N48" s="5"/>
    </row>
    <row r="49" spans="1:14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7"/>
      <c r="L49" s="177"/>
      <c r="M49" s="42">
        <f>SUM(J49:L49)</f>
        <v>0</v>
      </c>
      <c r="N49" s="5"/>
    </row>
    <row r="50" spans="1:14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7"/>
      <c r="L50" s="177"/>
      <c r="M50" s="42">
        <f>SUM(J50:L50)</f>
        <v>0</v>
      </c>
      <c r="N50" s="5"/>
    </row>
    <row r="51" spans="1:14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9"/>
      <c r="L51" s="179"/>
      <c r="M51" s="55">
        <f>SUM(J51:L51)</f>
        <v>0</v>
      </c>
      <c r="N51" s="29"/>
    </row>
    <row r="52" spans="1:14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6"/>
      <c r="L52" s="176"/>
      <c r="M52" s="42"/>
      <c r="N52" s="6"/>
    </row>
    <row r="53" spans="1:14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7"/>
      <c r="L53" s="177"/>
      <c r="M53" s="42"/>
      <c r="N53" s="5"/>
    </row>
    <row r="54" spans="1:14" ht="15.75">
      <c r="A54" s="21"/>
      <c r="B54" s="21"/>
      <c r="C54" s="13" t="s">
        <v>35</v>
      </c>
      <c r="D54" s="3"/>
      <c r="E54" s="31"/>
      <c r="F54" s="31"/>
      <c r="J54" s="42">
        <v>0</v>
      </c>
      <c r="K54" s="157"/>
      <c r="L54" s="177"/>
      <c r="M54" s="42">
        <f aca="true" t="shared" si="4" ref="M54:M65">SUM(J54:L54)</f>
        <v>0</v>
      </c>
      <c r="N54" s="5"/>
    </row>
    <row r="55" spans="1:14" ht="15.75">
      <c r="A55" s="21"/>
      <c r="B55" s="21"/>
      <c r="C55" s="13" t="s">
        <v>182</v>
      </c>
      <c r="D55" s="3"/>
      <c r="E55" s="31"/>
      <c r="F55" s="31"/>
      <c r="J55" s="42">
        <v>0</v>
      </c>
      <c r="K55" s="157"/>
      <c r="L55" s="177"/>
      <c r="M55" s="42">
        <f t="shared" si="4"/>
        <v>0</v>
      </c>
      <c r="N55" s="5"/>
    </row>
    <row r="56" spans="1:14" ht="15.75">
      <c r="A56" s="21"/>
      <c r="B56" s="21"/>
      <c r="C56" s="13" t="s">
        <v>37</v>
      </c>
      <c r="D56" s="3"/>
      <c r="E56" s="31"/>
      <c r="F56" s="31"/>
      <c r="J56" s="42">
        <v>0</v>
      </c>
      <c r="K56" s="157"/>
      <c r="L56" s="177"/>
      <c r="M56" s="42">
        <f t="shared" si="4"/>
        <v>0</v>
      </c>
      <c r="N56" s="5"/>
    </row>
    <row r="57" spans="1:14" ht="15.75">
      <c r="A57" s="21"/>
      <c r="B57" s="21"/>
      <c r="C57" s="13" t="s">
        <v>38</v>
      </c>
      <c r="D57" s="3"/>
      <c r="E57" s="31"/>
      <c r="F57" s="31"/>
      <c r="J57" s="42">
        <v>0</v>
      </c>
      <c r="K57" s="157"/>
      <c r="L57" s="177"/>
      <c r="M57" s="42">
        <f t="shared" si="4"/>
        <v>0</v>
      </c>
      <c r="N57" s="5"/>
    </row>
    <row r="58" spans="1:14" ht="15.75">
      <c r="A58" s="21"/>
      <c r="B58" s="21"/>
      <c r="C58" s="236" t="s">
        <v>100</v>
      </c>
      <c r="D58" s="3"/>
      <c r="E58" s="31"/>
      <c r="F58" s="31"/>
      <c r="J58" s="42">
        <v>0</v>
      </c>
      <c r="K58" s="157"/>
      <c r="L58" s="177"/>
      <c r="M58" s="42">
        <f t="shared" si="4"/>
        <v>0</v>
      </c>
      <c r="N58" s="5"/>
    </row>
    <row r="59" spans="1:14" ht="15.75">
      <c r="A59" s="21"/>
      <c r="B59" s="21"/>
      <c r="C59" s="13" t="s">
        <v>90</v>
      </c>
      <c r="D59" s="3"/>
      <c r="E59" s="31"/>
      <c r="F59" s="31"/>
      <c r="J59" s="42">
        <v>0</v>
      </c>
      <c r="K59" s="157"/>
      <c r="L59" s="177"/>
      <c r="M59" s="42">
        <f t="shared" si="4"/>
        <v>0</v>
      </c>
      <c r="N59" s="5"/>
    </row>
    <row r="60" spans="1:14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7"/>
      <c r="L60" s="177"/>
      <c r="M60" s="42">
        <f t="shared" si="4"/>
        <v>0</v>
      </c>
      <c r="N60" s="5"/>
    </row>
    <row r="61" spans="1:15" ht="15.75">
      <c r="A61" s="21"/>
      <c r="B61" s="21"/>
      <c r="C61" s="22" t="s">
        <v>40</v>
      </c>
      <c r="D61" s="10"/>
      <c r="E61" s="31"/>
      <c r="F61" s="31"/>
      <c r="J61" s="42">
        <v>0</v>
      </c>
      <c r="K61" s="157"/>
      <c r="L61" s="177"/>
      <c r="M61" s="42">
        <f t="shared" si="4"/>
        <v>0</v>
      </c>
      <c r="N61" s="5"/>
      <c r="O61" s="76"/>
    </row>
    <row r="62" spans="1:15" ht="15.75">
      <c r="A62" s="21"/>
      <c r="B62" s="21"/>
      <c r="C62" s="63" t="s">
        <v>41</v>
      </c>
      <c r="D62" s="10"/>
      <c r="E62" s="31"/>
      <c r="F62" s="31"/>
      <c r="J62" s="42">
        <v>0</v>
      </c>
      <c r="K62" s="157"/>
      <c r="L62" s="177"/>
      <c r="M62" s="42">
        <f t="shared" si="4"/>
        <v>0</v>
      </c>
      <c r="N62" s="5"/>
      <c r="O62" s="76"/>
    </row>
    <row r="63" spans="1:15" ht="15.75">
      <c r="A63" s="21"/>
      <c r="B63" s="21"/>
      <c r="C63" s="63" t="s">
        <v>92</v>
      </c>
      <c r="D63" s="10"/>
      <c r="E63" s="31"/>
      <c r="F63" s="31"/>
      <c r="J63" s="42">
        <v>0</v>
      </c>
      <c r="K63" s="157"/>
      <c r="L63" s="177"/>
      <c r="M63" s="42">
        <f t="shared" si="4"/>
        <v>0</v>
      </c>
      <c r="N63" s="5"/>
      <c r="O63" s="76"/>
    </row>
    <row r="64" spans="1:15" ht="15.75">
      <c r="A64" s="21"/>
      <c r="B64" s="21"/>
      <c r="C64" s="63" t="s">
        <v>93</v>
      </c>
      <c r="D64" s="10"/>
      <c r="E64" s="31"/>
      <c r="F64" s="31"/>
      <c r="J64" s="42">
        <v>0</v>
      </c>
      <c r="K64" s="157"/>
      <c r="L64" s="177"/>
      <c r="M64" s="42">
        <f t="shared" si="4"/>
        <v>0</v>
      </c>
      <c r="N64" s="5"/>
      <c r="O64" s="76"/>
    </row>
    <row r="65" spans="1:15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60"/>
      <c r="L65" s="180"/>
      <c r="M65" s="43">
        <f t="shared" si="4"/>
        <v>0</v>
      </c>
      <c r="N65" s="34"/>
      <c r="O65" s="76"/>
    </row>
    <row r="66" spans="1:14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6"/>
      <c r="L66" s="176"/>
      <c r="M66" s="46" t="s">
        <v>1</v>
      </c>
      <c r="N66" s="6"/>
    </row>
    <row r="67" spans="1:14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1"/>
      <c r="L67" s="181"/>
      <c r="M67" s="65">
        <f>SUM(J67:L67)</f>
        <v>0</v>
      </c>
      <c r="N67" s="34"/>
    </row>
    <row r="68" spans="1:13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1"/>
      <c r="L68" s="181"/>
      <c r="M68" s="65"/>
    </row>
    <row r="69" spans="1:15" ht="15.75">
      <c r="A69" s="28"/>
      <c r="B69" s="28"/>
      <c r="C69" s="28"/>
      <c r="D69" s="21"/>
      <c r="G69" s="39"/>
      <c r="H69" s="96" t="s">
        <v>119</v>
      </c>
      <c r="I69" s="39"/>
      <c r="J69" s="74">
        <f>SUM(J67)</f>
        <v>0</v>
      </c>
      <c r="K69" s="162"/>
      <c r="L69" s="182"/>
      <c r="M69" s="74">
        <f>SUM(J69:L69)</f>
        <v>0</v>
      </c>
      <c r="O69" s="76"/>
    </row>
    <row r="70" spans="1:16" ht="15.75">
      <c r="A70" s="33" t="s">
        <v>118</v>
      </c>
      <c r="B70" s="1"/>
      <c r="C70" s="1"/>
      <c r="J70" s="42"/>
      <c r="K70" s="163"/>
      <c r="L70" s="183"/>
      <c r="M70" s="50"/>
      <c r="N70" s="5"/>
      <c r="P70" s="75"/>
    </row>
    <row r="71" spans="1:14" ht="15.75">
      <c r="A71" s="13" t="s">
        <v>121</v>
      </c>
      <c r="B71" s="1"/>
      <c r="D71" s="7">
        <f>IF(AND(($E$78)="R",($E$80)="C"),('RATES-Non Fed'!E46),IF(AND(($E$78)="R",($E$80)="O"),('RATES-Non Fed'!E51),IF(AND(($E$78)="I",($E$80)="C"),('RATES-Non Fed'!E47),IF(AND(($E$78)="I",($E$80)="O"),('RATES-Non Fed'!E52),IF(AND(($E$78)="P",($E$80)="C"),('RATES-Non Fed'!E48),IF(AND(($E$78)="P",($E$80)="O"),('RATES-Non Fed'!E53),($E$79)))))))</f>
        <v>0.605</v>
      </c>
      <c r="E71" s="7"/>
      <c r="F71" s="7"/>
      <c r="G71" s="7"/>
      <c r="H71" s="7"/>
      <c r="J71" s="50">
        <f>SUM(J69*D71)</f>
        <v>0</v>
      </c>
      <c r="K71" s="157"/>
      <c r="L71" s="177"/>
      <c r="M71" s="50">
        <f>SUM(J71:L71)</f>
        <v>0</v>
      </c>
      <c r="N71" s="5"/>
    </row>
    <row r="72" spans="1:14" ht="15.75">
      <c r="A72" s="40" t="s">
        <v>120</v>
      </c>
      <c r="B72" s="1"/>
      <c r="C72" s="24"/>
      <c r="D72" s="35"/>
      <c r="E72" s="7"/>
      <c r="F72" s="7"/>
      <c r="G72" s="7"/>
      <c r="H72" s="7"/>
      <c r="I72" s="7"/>
      <c r="J72" s="53">
        <f>SUM(J71:J71)</f>
        <v>0</v>
      </c>
      <c r="K72" s="160"/>
      <c r="L72" s="180"/>
      <c r="M72" s="53">
        <f>SUM(J72:L72)</f>
        <v>0</v>
      </c>
      <c r="N72" s="5"/>
    </row>
    <row r="73" spans="1:14" ht="6.75" customHeight="1">
      <c r="A73" s="40"/>
      <c r="B73" s="1"/>
      <c r="C73" s="24"/>
      <c r="D73" s="35"/>
      <c r="E73" s="7"/>
      <c r="F73" s="7"/>
      <c r="G73" s="7"/>
      <c r="H73" s="7"/>
      <c r="I73" s="7"/>
      <c r="J73" s="61"/>
      <c r="K73" s="160"/>
      <c r="L73" s="180"/>
      <c r="M73" s="62"/>
      <c r="N73" s="5"/>
    </row>
    <row r="74" spans="1:14" ht="19.5" thickBot="1">
      <c r="A74" s="40"/>
      <c r="B74" s="1"/>
      <c r="C74" s="60" t="s">
        <v>44</v>
      </c>
      <c r="D74" s="35"/>
      <c r="E74" s="7"/>
      <c r="F74" s="7"/>
      <c r="G74" s="7"/>
      <c r="H74" s="7"/>
      <c r="I74" s="7"/>
      <c r="J74" s="72">
        <f>J72+J67</f>
        <v>0</v>
      </c>
      <c r="K74" s="161"/>
      <c r="L74" s="181"/>
      <c r="M74" s="72">
        <f>SUM(J74:L74)</f>
        <v>0</v>
      </c>
      <c r="N74" s="5"/>
    </row>
    <row r="75" spans="1:14" ht="8.25" customHeight="1" thickTop="1">
      <c r="A75" s="28"/>
      <c r="B75" s="1"/>
      <c r="C75" s="35"/>
      <c r="D75" s="7"/>
      <c r="E75" s="7"/>
      <c r="F75" s="7"/>
      <c r="G75" s="7"/>
      <c r="H75" s="7"/>
      <c r="I75" s="7"/>
      <c r="J75" s="50"/>
      <c r="K75" s="157"/>
      <c r="L75" s="177"/>
      <c r="M75" s="50" t="s">
        <v>1</v>
      </c>
      <c r="N75" s="5"/>
    </row>
    <row r="76" spans="1:14" ht="9" customHeight="1">
      <c r="A76" s="1"/>
      <c r="B76" s="1"/>
      <c r="C76" s="1"/>
      <c r="D76" s="1"/>
      <c r="E76" s="1"/>
      <c r="F76" s="1"/>
      <c r="G76" s="1"/>
      <c r="H76" s="1"/>
      <c r="I76" s="1"/>
      <c r="J76" s="49"/>
      <c r="K76" s="164"/>
      <c r="L76" s="184"/>
      <c r="M76" s="58"/>
      <c r="N76" s="1"/>
    </row>
    <row r="77" ht="15.75">
      <c r="C77" s="36" t="s">
        <v>122</v>
      </c>
    </row>
    <row r="78" spans="3:7" ht="15.75">
      <c r="C78" s="14" t="s">
        <v>45</v>
      </c>
      <c r="E78" s="15" t="s">
        <v>46</v>
      </c>
      <c r="G78" s="14" t="s">
        <v>47</v>
      </c>
    </row>
    <row r="79" spans="3:6" ht="15.75">
      <c r="C79" s="14" t="s">
        <v>169</v>
      </c>
      <c r="E79" s="9">
        <v>0.1</v>
      </c>
      <c r="F79" s="9"/>
    </row>
    <row r="80" spans="3:7" ht="15.75">
      <c r="C80" s="14" t="s">
        <v>48</v>
      </c>
      <c r="E80" s="172" t="s">
        <v>49</v>
      </c>
      <c r="G80" s="14" t="s">
        <v>50</v>
      </c>
    </row>
    <row r="82" spans="4:10" ht="15.75">
      <c r="D82" s="223" t="s">
        <v>194</v>
      </c>
      <c r="H82" s="221">
        <f>+'RATES-Non Fed'!E31</f>
        <v>0.605</v>
      </c>
      <c r="J82" s="220">
        <f>J72/12*'RATES-Non Fed'!$C$46</f>
        <v>0</v>
      </c>
    </row>
    <row r="83" spans="4:10" ht="15.75">
      <c r="D83" s="274" t="s">
        <v>195</v>
      </c>
      <c r="E83" s="274"/>
      <c r="F83" s="274"/>
      <c r="G83" s="274"/>
      <c r="H83" s="221">
        <f>+'RATES-Non Fed'!G31</f>
        <v>0.605</v>
      </c>
      <c r="J83" s="220">
        <f>J72/12*'RATES-Non Fed'!$D$46</f>
        <v>0</v>
      </c>
    </row>
    <row r="84" spans="4:16" ht="18.75">
      <c r="D84" s="274"/>
      <c r="E84" s="274"/>
      <c r="F84" s="274"/>
      <c r="G84" s="274"/>
      <c r="J84" s="220">
        <f>SUM(J82:J83)</f>
        <v>0</v>
      </c>
      <c r="M84" s="273">
        <f>'RATES-Non Fed'!Q67</f>
        <v>0</v>
      </c>
      <c r="N84" s="273"/>
      <c r="O84" s="273"/>
      <c r="P84" s="200"/>
    </row>
  </sheetData>
  <sheetProtection/>
  <mergeCells count="4">
    <mergeCell ref="J8:L8"/>
    <mergeCell ref="K4:O5"/>
    <mergeCell ref="M84:O84"/>
    <mergeCell ref="D83:G84"/>
  </mergeCells>
  <dataValidations count="1">
    <dataValidation type="list" allowBlank="1" showInputMessage="1" showErrorMessage="1" sqref="D11 D13 D20:D23 D15:D17">
      <formula1>APPTS</formula1>
    </dataValidation>
  </dataValidations>
  <hyperlinks>
    <hyperlink ref="C58" r:id="rId1" display="UC Tuition rates (Not Subject to Indirect)"/>
  </hyperlinks>
  <printOptions horizontalCentered="1"/>
  <pageMargins left="0.25" right="0.25" top="0.75" bottom="0.75" header="0.3" footer="0.3"/>
  <pageSetup fitToHeight="1" fitToWidth="1" horizontalDpi="300" verticalDpi="300" orientation="portrait" scale="58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5"/>
  <sheetViews>
    <sheetView showGridLines="0" zoomScale="75" zoomScaleNormal="75" workbookViewId="0" topLeftCell="A7">
      <selection activeCell="N25" sqref="N25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5" bestFit="1" customWidth="1"/>
    <col min="12" max="12" width="10.125" style="185" bestFit="1" customWidth="1"/>
    <col min="13" max="13" width="11.25390625" style="0" customWidth="1"/>
    <col min="14" max="14" width="9.25390625" style="165" bestFit="1" customWidth="1"/>
    <col min="15" max="15" width="9.50390625" style="94" bestFit="1" customWidth="1"/>
    <col min="16" max="16" width="14.625" style="0" customWidth="1"/>
    <col min="17" max="17" width="2.625" style="0" customWidth="1"/>
  </cols>
  <sheetData>
    <row r="1" spans="1:14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1"/>
      <c r="L1" s="173"/>
      <c r="M1" s="37"/>
      <c r="N1" s="166"/>
    </row>
    <row r="2" spans="1:16" ht="18.75">
      <c r="A2" s="17" t="s">
        <v>179</v>
      </c>
      <c r="B2" s="18"/>
      <c r="C2" s="18"/>
      <c r="D2" s="18"/>
      <c r="E2" s="18"/>
      <c r="F2" s="18"/>
      <c r="G2" s="18"/>
      <c r="H2" s="18"/>
      <c r="I2" s="18"/>
      <c r="J2" s="19"/>
      <c r="K2" s="151"/>
      <c r="L2" s="173"/>
      <c r="M2" s="37"/>
      <c r="N2" s="166"/>
      <c r="O2" s="195"/>
      <c r="P2" s="37"/>
    </row>
    <row r="3" spans="1:16" ht="9.75" customHeight="1">
      <c r="A3" s="10" t="s">
        <v>1</v>
      </c>
      <c r="B3" s="1"/>
      <c r="J3" s="11" t="s">
        <v>1</v>
      </c>
      <c r="K3" s="152"/>
      <c r="L3" s="174"/>
      <c r="M3" s="8"/>
      <c r="P3" s="8"/>
    </row>
    <row r="4" spans="1:16" ht="15.75">
      <c r="A4" s="22" t="s">
        <v>2</v>
      </c>
      <c r="B4" s="1"/>
      <c r="D4" s="10" t="s">
        <v>69</v>
      </c>
      <c r="G4" s="3"/>
      <c r="J4" s="20" t="s">
        <v>3</v>
      </c>
      <c r="K4" s="275" t="s">
        <v>69</v>
      </c>
      <c r="L4" s="276"/>
      <c r="M4" s="277"/>
      <c r="N4" s="277"/>
      <c r="O4" s="278"/>
      <c r="P4" s="8"/>
    </row>
    <row r="5" spans="1:16" ht="18.75">
      <c r="A5" s="22" t="s">
        <v>4</v>
      </c>
      <c r="B5" s="1"/>
      <c r="D5" s="10" t="s">
        <v>69</v>
      </c>
      <c r="E5" s="3"/>
      <c r="F5" s="3"/>
      <c r="H5" s="2"/>
      <c r="I5" s="2"/>
      <c r="J5" s="38"/>
      <c r="K5" s="279"/>
      <c r="L5" s="280"/>
      <c r="M5" s="280"/>
      <c r="N5" s="280"/>
      <c r="O5" s="281"/>
      <c r="P5" s="8"/>
    </row>
    <row r="6" spans="1:16" ht="15.75">
      <c r="A6" s="14"/>
      <c r="B6" s="22" t="s">
        <v>5</v>
      </c>
      <c r="D6" s="73">
        <f>'RATES-Non Fed'!E2</f>
        <v>42917</v>
      </c>
      <c r="E6" s="12" t="s">
        <v>6</v>
      </c>
      <c r="F6" s="12"/>
      <c r="G6" s="73">
        <f>'RATES-Non Fed'!G2</f>
        <v>44742</v>
      </c>
      <c r="H6" s="4"/>
      <c r="I6" s="4"/>
      <c r="J6" s="2"/>
      <c r="K6" s="153"/>
      <c r="L6" s="175"/>
      <c r="M6" s="3"/>
      <c r="N6" s="153"/>
      <c r="O6" s="148"/>
      <c r="P6" s="8"/>
    </row>
    <row r="7" spans="5:17" ht="7.5" customHeight="1">
      <c r="E7" s="3"/>
      <c r="F7" s="3"/>
      <c r="G7" s="1"/>
      <c r="H7" s="1"/>
      <c r="I7" s="1"/>
      <c r="J7" s="16" t="s">
        <v>1</v>
      </c>
      <c r="K7" s="152"/>
      <c r="L7" s="174"/>
      <c r="M7" s="8"/>
      <c r="N7" s="152"/>
      <c r="O7" s="142"/>
      <c r="P7" s="8"/>
      <c r="Q7" s="1"/>
    </row>
    <row r="8" spans="1:17" ht="15.75">
      <c r="A8" s="21"/>
      <c r="B8" s="21"/>
      <c r="C8" s="144" t="s">
        <v>10</v>
      </c>
      <c r="D8" s="21"/>
      <c r="E8" s="21"/>
      <c r="F8" s="21"/>
      <c r="G8" s="21"/>
      <c r="H8" s="21"/>
      <c r="I8" s="21"/>
      <c r="J8" s="264" t="s">
        <v>21</v>
      </c>
      <c r="K8" s="265"/>
      <c r="L8" s="266"/>
      <c r="M8" s="282" t="s">
        <v>52</v>
      </c>
      <c r="N8" s="283"/>
      <c r="O8" s="284"/>
      <c r="P8" s="171" t="s">
        <v>8</v>
      </c>
      <c r="Q8" s="21"/>
    </row>
    <row r="9" spans="1:19" s="146" customFormat="1" ht="15.75">
      <c r="A9" s="144" t="s">
        <v>9</v>
      </c>
      <c r="C9" s="144"/>
      <c r="D9" s="144"/>
      <c r="E9" s="144"/>
      <c r="F9" s="144"/>
      <c r="G9" s="144"/>
      <c r="H9" s="144"/>
      <c r="I9" s="144"/>
      <c r="J9" s="189" t="s">
        <v>173</v>
      </c>
      <c r="K9" s="154" t="s">
        <v>174</v>
      </c>
      <c r="L9" s="144" t="s">
        <v>175</v>
      </c>
      <c r="M9" s="194" t="s">
        <v>173</v>
      </c>
      <c r="N9" s="154" t="s">
        <v>174</v>
      </c>
      <c r="O9" s="144" t="s">
        <v>175</v>
      </c>
      <c r="P9" s="145"/>
      <c r="Q9" s="144"/>
      <c r="S9"/>
    </row>
    <row r="10" spans="1:17" ht="15.75">
      <c r="A10" s="1"/>
      <c r="B10" s="23" t="s">
        <v>11</v>
      </c>
      <c r="C10" s="24"/>
      <c r="D10" s="24" t="s">
        <v>99</v>
      </c>
      <c r="E10" s="1" t="s">
        <v>12</v>
      </c>
      <c r="F10" s="41" t="s">
        <v>125</v>
      </c>
      <c r="G10" s="41" t="s">
        <v>13</v>
      </c>
      <c r="H10" s="1"/>
      <c r="I10" s="1"/>
      <c r="J10" s="190"/>
      <c r="K10" s="152"/>
      <c r="L10" s="142"/>
      <c r="M10" s="190"/>
      <c r="N10" s="152"/>
      <c r="O10" s="142"/>
      <c r="P10" s="2">
        <f>IF(SUM(J10:N10)=0,"",SUM(J10:N10))</f>
      </c>
      <c r="Q10" s="1"/>
    </row>
    <row r="11" spans="1:19" ht="15.75">
      <c r="A11" s="1"/>
      <c r="B11" s="1" t="s">
        <v>14</v>
      </c>
      <c r="C11" s="10" t="str">
        <f>D5</f>
        <v>name</v>
      </c>
      <c r="D11" s="140" t="s">
        <v>127</v>
      </c>
      <c r="E11" s="70">
        <v>0</v>
      </c>
      <c r="F11" s="99">
        <f aca="true" t="shared" si="0" ref="F11:F18">IF(D11="CAL",(52*E11/4.3333),(IF(D11="ACAD",(32*E11/4.33333),IF(D11="SUMR",(14*E11/4.33333),IF(D11="PT",(0),0)))))</f>
        <v>0</v>
      </c>
      <c r="G11" s="69">
        <v>0</v>
      </c>
      <c r="J11" s="187">
        <f>ROUND(G11*E11,0)</f>
        <v>0</v>
      </c>
      <c r="K11" s="155">
        <f>ROUND(J11*'RATES-Non Fed'!E38,0)</f>
        <v>0</v>
      </c>
      <c r="L11" s="67">
        <f>ROUND(K11+J11,0)</f>
        <v>0</v>
      </c>
      <c r="M11" s="187">
        <f>ROUND((J11*1.02),0)</f>
        <v>0</v>
      </c>
      <c r="N11" s="155">
        <f>ROUND(M11*'RATES-Non Fed'!G38,0)</f>
        <v>0</v>
      </c>
      <c r="O11" s="67">
        <f aca="true" t="shared" si="1" ref="O11:O18">ROUND(M11+N11,0)</f>
        <v>0</v>
      </c>
      <c r="P11" s="42">
        <f>SUM(L11+O11)</f>
        <v>0</v>
      </c>
      <c r="Q11" s="1"/>
      <c r="S11" s="213"/>
    </row>
    <row r="12" spans="1:17" ht="15.75">
      <c r="A12" s="1"/>
      <c r="B12" s="1" t="s">
        <v>14</v>
      </c>
      <c r="C12" s="3"/>
      <c r="D12" s="140" t="str">
        <f>IF(D11="ACAD",("SUMR"),"")</f>
        <v>SUMR</v>
      </c>
      <c r="E12" s="70">
        <v>0</v>
      </c>
      <c r="F12" s="99">
        <f t="shared" si="0"/>
        <v>0</v>
      </c>
      <c r="G12" s="69">
        <f>+G11*0.4375</f>
        <v>0</v>
      </c>
      <c r="J12" s="187">
        <f aca="true" t="shared" si="2" ref="J12:J18">ROUND(G12*E12,0)</f>
        <v>0</v>
      </c>
      <c r="K12" s="155">
        <f>ROUND(J12*'RATES-Non Fed'!E38,0)</f>
        <v>0</v>
      </c>
      <c r="L12" s="67">
        <f aca="true" t="shared" si="3" ref="L12:L18">ROUND(K12+J12,0)</f>
        <v>0</v>
      </c>
      <c r="M12" s="187">
        <f aca="true" t="shared" si="4" ref="M12:M17">ROUND((J12*1.02),0)</f>
        <v>0</v>
      </c>
      <c r="N12" s="155">
        <f>ROUND(M12*'RATES-Non Fed'!G38,0)</f>
        <v>0</v>
      </c>
      <c r="O12" s="67">
        <f t="shared" si="1"/>
        <v>0</v>
      </c>
      <c r="P12" s="42">
        <f aca="true" t="shared" si="5" ref="P12:P18">SUM(L12+O12)</f>
        <v>0</v>
      </c>
      <c r="Q12" s="1"/>
    </row>
    <row r="13" spans="1:17" ht="15.75">
      <c r="A13" s="1"/>
      <c r="B13" s="1" t="s">
        <v>15</v>
      </c>
      <c r="C13" s="3"/>
      <c r="D13" s="140" t="s">
        <v>127</v>
      </c>
      <c r="E13" s="70">
        <v>0</v>
      </c>
      <c r="F13" s="99">
        <f t="shared" si="0"/>
        <v>0</v>
      </c>
      <c r="G13" s="69">
        <v>0</v>
      </c>
      <c r="J13" s="187">
        <f t="shared" si="2"/>
        <v>0</v>
      </c>
      <c r="K13" s="155">
        <f>ROUND(J13*'RATES-Non Fed'!E38,0)</f>
        <v>0</v>
      </c>
      <c r="L13" s="67">
        <f t="shared" si="3"/>
        <v>0</v>
      </c>
      <c r="M13" s="187">
        <f t="shared" si="4"/>
        <v>0</v>
      </c>
      <c r="N13" s="155">
        <f>ROUND(M13*'RATES-Non Fed'!G38,0)</f>
        <v>0</v>
      </c>
      <c r="O13" s="67">
        <f t="shared" si="1"/>
        <v>0</v>
      </c>
      <c r="P13" s="42">
        <f t="shared" si="5"/>
        <v>0</v>
      </c>
      <c r="Q13" s="1"/>
    </row>
    <row r="14" spans="1:16" ht="15.75">
      <c r="A14" s="1"/>
      <c r="B14" s="1"/>
      <c r="C14" s="3"/>
      <c r="D14" s="140" t="str">
        <f>IF(D13="ACAD",("SUMR"),"")</f>
        <v>SUMR</v>
      </c>
      <c r="E14" s="70">
        <v>0</v>
      </c>
      <c r="F14" s="99">
        <f t="shared" si="0"/>
        <v>0</v>
      </c>
      <c r="G14" s="69">
        <f>+G13*0.4375</f>
        <v>0</v>
      </c>
      <c r="J14" s="187">
        <f t="shared" si="2"/>
        <v>0</v>
      </c>
      <c r="K14" s="155">
        <f>ROUND(J14*'RATES-Non Fed'!E38,0)</f>
        <v>0</v>
      </c>
      <c r="L14" s="67">
        <f t="shared" si="3"/>
        <v>0</v>
      </c>
      <c r="M14" s="187">
        <f t="shared" si="4"/>
        <v>0</v>
      </c>
      <c r="N14" s="155">
        <f>ROUND(M14*'RATES-Non Fed'!G38,0)</f>
        <v>0</v>
      </c>
      <c r="O14" s="67">
        <f t="shared" si="1"/>
        <v>0</v>
      </c>
      <c r="P14" s="42">
        <f t="shared" si="5"/>
        <v>0</v>
      </c>
    </row>
    <row r="15" spans="1:17" ht="15.75">
      <c r="A15" s="1"/>
      <c r="B15" s="1" t="s">
        <v>15</v>
      </c>
      <c r="C15" s="3"/>
      <c r="D15" s="140" t="s">
        <v>127</v>
      </c>
      <c r="E15" s="70">
        <v>0</v>
      </c>
      <c r="F15" s="99">
        <f t="shared" si="0"/>
        <v>0</v>
      </c>
      <c r="G15" s="69">
        <v>0</v>
      </c>
      <c r="J15" s="187">
        <f t="shared" si="2"/>
        <v>0</v>
      </c>
      <c r="K15" s="155">
        <f>ROUND(J15*'RATES-Non Fed'!E38,0)</f>
        <v>0</v>
      </c>
      <c r="L15" s="67">
        <f t="shared" si="3"/>
        <v>0</v>
      </c>
      <c r="M15" s="187">
        <f t="shared" si="4"/>
        <v>0</v>
      </c>
      <c r="N15" s="155">
        <f>ROUND(M15*'RATES-Non Fed'!G38,0)</f>
        <v>0</v>
      </c>
      <c r="O15" s="67">
        <f t="shared" si="1"/>
        <v>0</v>
      </c>
      <c r="P15" s="42">
        <f t="shared" si="5"/>
        <v>0</v>
      </c>
      <c r="Q15" s="1"/>
    </row>
    <row r="16" spans="1:16" ht="15.75">
      <c r="A16" s="1"/>
      <c r="B16" s="1"/>
      <c r="C16" s="3"/>
      <c r="D16" s="140" t="str">
        <f>IF(D15="ACAD",("SUMR"),"")</f>
        <v>SUMR</v>
      </c>
      <c r="E16" s="70">
        <v>0</v>
      </c>
      <c r="F16" s="99">
        <f t="shared" si="0"/>
        <v>0</v>
      </c>
      <c r="G16" s="69">
        <f>+G15*0.4375</f>
        <v>0</v>
      </c>
      <c r="J16" s="187">
        <f t="shared" si="2"/>
        <v>0</v>
      </c>
      <c r="K16" s="155">
        <f>ROUND(J16*'RATES-Non Fed'!E38,0)</f>
        <v>0</v>
      </c>
      <c r="L16" s="67">
        <f t="shared" si="3"/>
        <v>0</v>
      </c>
      <c r="M16" s="187">
        <f t="shared" si="4"/>
        <v>0</v>
      </c>
      <c r="N16" s="155">
        <f>ROUND(M16*'RATES-Non Fed'!G38,0)</f>
        <v>0</v>
      </c>
      <c r="O16" s="67">
        <f t="shared" si="1"/>
        <v>0</v>
      </c>
      <c r="P16" s="42">
        <f t="shared" si="5"/>
        <v>0</v>
      </c>
    </row>
    <row r="17" spans="1:17" ht="15.75">
      <c r="A17" s="1"/>
      <c r="B17" s="1" t="s">
        <v>15</v>
      </c>
      <c r="C17" s="3"/>
      <c r="D17" s="140" t="s">
        <v>126</v>
      </c>
      <c r="E17" s="70">
        <v>0</v>
      </c>
      <c r="F17" s="99">
        <f t="shared" si="0"/>
        <v>0</v>
      </c>
      <c r="G17" s="69">
        <v>0</v>
      </c>
      <c r="J17" s="187">
        <f t="shared" si="2"/>
        <v>0</v>
      </c>
      <c r="K17" s="155">
        <f>ROUND(J17*'RATES-Non Fed'!E38,0)</f>
        <v>0</v>
      </c>
      <c r="L17" s="67">
        <f t="shared" si="3"/>
        <v>0</v>
      </c>
      <c r="M17" s="187">
        <f t="shared" si="4"/>
        <v>0</v>
      </c>
      <c r="N17" s="155">
        <f>ROUND(M17*'RATES-Non Fed'!G38,0)</f>
        <v>0</v>
      </c>
      <c r="O17" s="67">
        <f t="shared" si="1"/>
        <v>0</v>
      </c>
      <c r="P17" s="42">
        <f t="shared" si="5"/>
        <v>0</v>
      </c>
      <c r="Q17" s="1"/>
    </row>
    <row r="18" spans="1:16" ht="15.75">
      <c r="A18" s="1"/>
      <c r="B18" s="1" t="s">
        <v>15</v>
      </c>
      <c r="C18" s="3"/>
      <c r="D18" s="140" t="s">
        <v>126</v>
      </c>
      <c r="E18" s="70">
        <v>0</v>
      </c>
      <c r="F18" s="99">
        <f t="shared" si="0"/>
        <v>0</v>
      </c>
      <c r="G18" s="69">
        <v>0</v>
      </c>
      <c r="J18" s="202">
        <f t="shared" si="2"/>
        <v>0</v>
      </c>
      <c r="K18" s="207">
        <f>ROUND(J18*'RATES-Non Fed'!E38,0)</f>
        <v>0</v>
      </c>
      <c r="L18" s="208">
        <f t="shared" si="3"/>
        <v>0</v>
      </c>
      <c r="M18" s="202">
        <f>ROUND((J18*1.02),0)</f>
        <v>0</v>
      </c>
      <c r="N18" s="207">
        <f>ROUND(M18*'RATES-Non Fed'!G38,0)</f>
        <v>0</v>
      </c>
      <c r="O18" s="208">
        <f t="shared" si="1"/>
        <v>0</v>
      </c>
      <c r="P18" s="205">
        <f t="shared" si="5"/>
        <v>0</v>
      </c>
    </row>
    <row r="19" spans="1:17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6">
        <f aca="true" t="shared" si="6" ref="J19:P19">SUM(J11:J18)</f>
        <v>0</v>
      </c>
      <c r="K19" s="156">
        <f t="shared" si="6"/>
        <v>0</v>
      </c>
      <c r="L19" s="46">
        <f t="shared" si="6"/>
        <v>0</v>
      </c>
      <c r="M19" s="206">
        <f t="shared" si="6"/>
        <v>0</v>
      </c>
      <c r="N19" s="156">
        <f t="shared" si="6"/>
        <v>0</v>
      </c>
      <c r="O19" s="46">
        <f t="shared" si="6"/>
        <v>0</v>
      </c>
      <c r="P19" s="42">
        <f t="shared" si="6"/>
        <v>0</v>
      </c>
      <c r="Q19" s="6"/>
    </row>
    <row r="20" spans="1:15" ht="15.75">
      <c r="A20" s="21" t="s">
        <v>226</v>
      </c>
      <c r="B20" s="21" t="s">
        <v>227</v>
      </c>
      <c r="C20" s="1"/>
      <c r="D20" s="25"/>
      <c r="E20" s="26"/>
      <c r="F20" s="26"/>
      <c r="G20" s="1"/>
      <c r="H20" s="1"/>
      <c r="I20" s="1"/>
      <c r="J20" s="206"/>
      <c r="K20" s="156"/>
      <c r="L20" s="46"/>
      <c r="M20" s="42"/>
      <c r="N20" s="6"/>
      <c r="O20"/>
    </row>
    <row r="21" spans="1:16" ht="15.75">
      <c r="A21" s="1"/>
      <c r="B21" s="1" t="s">
        <v>15</v>
      </c>
      <c r="C21" s="3"/>
      <c r="D21" s="140" t="s">
        <v>126</v>
      </c>
      <c r="E21" s="70">
        <v>0</v>
      </c>
      <c r="F21" s="99">
        <f>IF(D21="CAL",(52*E21/4.3333),(IF(D21="ACAD",(32*E21/4.33333),IF(D21="SUMR",(14*E21/4.33333),IF(D21="PT",(0),0)))))</f>
        <v>0</v>
      </c>
      <c r="G21" s="69">
        <v>0</v>
      </c>
      <c r="J21" s="187">
        <f>ROUND(G21*E21,0)</f>
        <v>0</v>
      </c>
      <c r="K21" s="155">
        <f>ROUND(J21*'RATES-Non Fed'!E40,0)</f>
        <v>0</v>
      </c>
      <c r="L21" s="67">
        <f>ROUND(K21+J21,0)</f>
        <v>0</v>
      </c>
      <c r="M21" s="187">
        <f>ROUND((J21*1.02),0)</f>
        <v>0</v>
      </c>
      <c r="N21" s="155">
        <f>ROUND(M21*'RATES-Non Fed'!G40,0)</f>
        <v>0</v>
      </c>
      <c r="O21" s="67">
        <f>ROUND(M21+N21,0)</f>
        <v>0</v>
      </c>
      <c r="P21" s="42">
        <f>SUM(J21:O21)</f>
        <v>0</v>
      </c>
    </row>
    <row r="22" spans="1:16" ht="15.75">
      <c r="A22" s="1"/>
      <c r="B22" s="1" t="s">
        <v>15</v>
      </c>
      <c r="C22" s="3"/>
      <c r="D22" s="140" t="s">
        <v>126</v>
      </c>
      <c r="E22" s="70">
        <v>0</v>
      </c>
      <c r="F22" s="99">
        <f>IF(D22="CAL",(52*E22/4.3333),(IF(D22="ACAD",(32*E22/4.33333),IF(D22="SUMR",(14*E22/4.33333),IF(D22="PT",(0),0)))))</f>
        <v>0</v>
      </c>
      <c r="G22" s="69">
        <v>0</v>
      </c>
      <c r="J22" s="187">
        <f>ROUND(G22*E22,0)</f>
        <v>0</v>
      </c>
      <c r="K22" s="155">
        <f>ROUND(J22*'RATES-Non Fed'!E40,0)</f>
        <v>0</v>
      </c>
      <c r="L22" s="67">
        <f>ROUND(K22+J22,0)</f>
        <v>0</v>
      </c>
      <c r="M22" s="187">
        <f>ROUND((J22*1.02),0)</f>
        <v>0</v>
      </c>
      <c r="N22" s="155">
        <f>ROUND(M22*'RATES-Non Fed'!G40,0)</f>
        <v>0</v>
      </c>
      <c r="O22" s="67">
        <f>ROUND(M22+N22,0)</f>
        <v>0</v>
      </c>
      <c r="P22" s="42">
        <f>SUM(J22:O22)</f>
        <v>0</v>
      </c>
    </row>
    <row r="23" spans="1:16" ht="15.75">
      <c r="A23" s="1"/>
      <c r="B23" s="1" t="s">
        <v>15</v>
      </c>
      <c r="C23" s="3"/>
      <c r="D23" s="140" t="s">
        <v>126</v>
      </c>
      <c r="E23" s="70">
        <v>0</v>
      </c>
      <c r="F23" s="99">
        <f>IF(D23="CAL",(52*E23/4.3333),(IF(D23="ACAD",(32*E23/4.33333),IF(D23="SUMR",(14*E23/4.33333),IF(D23="PT",(0),0)))))</f>
        <v>0</v>
      </c>
      <c r="G23" s="69">
        <v>0</v>
      </c>
      <c r="J23" s="187">
        <f>ROUND(G23*E23,0)</f>
        <v>0</v>
      </c>
      <c r="K23" s="155">
        <f>ROUND(J23*'RATES-Non Fed'!E40,0)</f>
        <v>0</v>
      </c>
      <c r="L23" s="67">
        <f>ROUND(K23+J23,0)</f>
        <v>0</v>
      </c>
      <c r="M23" s="187">
        <f>ROUND((J23*1.02),0)</f>
        <v>0</v>
      </c>
      <c r="N23" s="155">
        <f>ROUND(M23*'RATES-Non Fed'!G40,0)</f>
        <v>0</v>
      </c>
      <c r="O23" s="67">
        <f>ROUND(M23+N23,0)</f>
        <v>0</v>
      </c>
      <c r="P23" s="42">
        <f>SUM(J23:O23)</f>
        <v>0</v>
      </c>
    </row>
    <row r="24" spans="1:16" ht="15.75">
      <c r="A24" s="1"/>
      <c r="B24" s="1" t="s">
        <v>15</v>
      </c>
      <c r="C24" s="3"/>
      <c r="D24" s="140" t="s">
        <v>126</v>
      </c>
      <c r="E24" s="70">
        <v>0</v>
      </c>
      <c r="F24" s="99">
        <f>IF(D24="CAL",(52*E24/4.3333),(IF(D24="ACAD",(32*E24/4.33333),IF(D24="SUMR",(14*E24/4.33333),IF(D24="PT",(0),0)))))</f>
        <v>0</v>
      </c>
      <c r="G24" s="69">
        <v>0</v>
      </c>
      <c r="J24" s="187">
        <f>ROUND(G24*E24,0)</f>
        <v>0</v>
      </c>
      <c r="K24" s="207">
        <f>ROUND(J24*'RATES-Non Fed'!E40,0)</f>
        <v>0</v>
      </c>
      <c r="L24" s="208">
        <f>ROUND(K24+J24,0)</f>
        <v>0</v>
      </c>
      <c r="M24" s="202">
        <f>ROUND((J24*1.02),0)</f>
        <v>0</v>
      </c>
      <c r="N24" s="207">
        <f>ROUND(M24*'RATES-Non Fed'!G40,0)</f>
        <v>0</v>
      </c>
      <c r="O24" s="208">
        <f>ROUND(M24+N24,0)</f>
        <v>0</v>
      </c>
      <c r="P24" s="205">
        <f>SUM(J24:O24)</f>
        <v>0</v>
      </c>
    </row>
    <row r="25" spans="1:16" ht="15.75">
      <c r="A25" s="1"/>
      <c r="B25" s="1"/>
      <c r="C25" s="1"/>
      <c r="D25" s="25" t="s">
        <v>231</v>
      </c>
      <c r="E25" s="26"/>
      <c r="F25" s="26"/>
      <c r="G25" s="1"/>
      <c r="H25" s="1"/>
      <c r="I25" s="1"/>
      <c r="J25" s="191">
        <f aca="true" t="shared" si="7" ref="J25:O25">SUM(J21:J24)</f>
        <v>0</v>
      </c>
      <c r="K25" s="156">
        <f t="shared" si="7"/>
        <v>0</v>
      </c>
      <c r="L25" s="46">
        <f t="shared" si="7"/>
        <v>0</v>
      </c>
      <c r="M25" s="76">
        <f t="shared" si="7"/>
        <v>0</v>
      </c>
      <c r="N25" s="6">
        <f t="shared" si="7"/>
        <v>0</v>
      </c>
      <c r="O25" s="76">
        <f t="shared" si="7"/>
        <v>0</v>
      </c>
      <c r="P25" s="42">
        <f>SUM(J25:O25)</f>
        <v>0</v>
      </c>
    </row>
    <row r="26" spans="1:17" ht="7.5" customHeight="1">
      <c r="A26" s="1"/>
      <c r="B26" s="1"/>
      <c r="C26" s="1"/>
      <c r="D26" s="26"/>
      <c r="E26" s="26"/>
      <c r="F26" s="26"/>
      <c r="G26" s="1"/>
      <c r="H26" s="1"/>
      <c r="I26" s="1"/>
      <c r="J26" s="192"/>
      <c r="K26" s="156"/>
      <c r="L26" s="46"/>
      <c r="M26" s="186"/>
      <c r="N26" s="156"/>
      <c r="O26" s="46"/>
      <c r="P26" s="42"/>
      <c r="Q26" s="6"/>
    </row>
    <row r="27" spans="1:17" ht="15.75">
      <c r="A27" s="22" t="s">
        <v>228</v>
      </c>
      <c r="B27" s="22" t="s">
        <v>17</v>
      </c>
      <c r="C27" s="1"/>
      <c r="D27" s="26"/>
      <c r="E27" s="1"/>
      <c r="F27" s="1"/>
      <c r="G27" s="41"/>
      <c r="H27" s="1"/>
      <c r="I27" s="1"/>
      <c r="J27" s="190"/>
      <c r="K27" s="152"/>
      <c r="L27" s="142"/>
      <c r="M27" s="190"/>
      <c r="N27" s="156"/>
      <c r="O27" s="46"/>
      <c r="P27" s="42"/>
      <c r="Q27" s="6"/>
    </row>
    <row r="28" spans="1:17" ht="15.75">
      <c r="A28" s="1"/>
      <c r="C28" s="13" t="s">
        <v>86</v>
      </c>
      <c r="D28" s="41" t="s">
        <v>123</v>
      </c>
      <c r="E28" s="68"/>
      <c r="F28" s="68"/>
      <c r="G28" s="59"/>
      <c r="J28" s="187"/>
      <c r="K28" s="157"/>
      <c r="L28" s="50"/>
      <c r="M28" s="187"/>
      <c r="N28" s="167"/>
      <c r="O28" s="147"/>
      <c r="P28" s="42"/>
      <c r="Q28" s="5"/>
    </row>
    <row r="29" spans="1:17" ht="15.75">
      <c r="A29" s="1"/>
      <c r="C29" s="13"/>
      <c r="D29" s="97"/>
      <c r="E29" s="70">
        <v>0</v>
      </c>
      <c r="F29" s="98">
        <f>SUM(52*E29/4.33)</f>
        <v>0</v>
      </c>
      <c r="G29" s="69">
        <v>0</v>
      </c>
      <c r="J29" s="187">
        <f>ROUND(G29*E29,0)</f>
        <v>0</v>
      </c>
      <c r="K29" s="157">
        <f>ROUND(J29*'RATES-Non Fed'!E39,0)</f>
        <v>0</v>
      </c>
      <c r="L29" s="50">
        <f>SUM(J29:K29)</f>
        <v>0</v>
      </c>
      <c r="M29" s="187">
        <f>ROUND(J29*1.02,0)</f>
        <v>0</v>
      </c>
      <c r="N29" s="157">
        <f>ROUND(M29*'RATES-Non Fed'!G39,0)</f>
        <v>0</v>
      </c>
      <c r="O29" s="50">
        <f>SUM(M29:N29)</f>
        <v>0</v>
      </c>
      <c r="P29" s="42">
        <f>SUM(L29+O29)</f>
        <v>0</v>
      </c>
      <c r="Q29" s="5"/>
    </row>
    <row r="30" spans="1:17" ht="15.75">
      <c r="A30" s="1"/>
      <c r="C30" s="13"/>
      <c r="D30" s="1"/>
      <c r="E30" s="70">
        <v>0</v>
      </c>
      <c r="F30" s="98">
        <f>SUM(52*E30/4.33)</f>
        <v>0</v>
      </c>
      <c r="G30" s="69">
        <v>0</v>
      </c>
      <c r="J30" s="187">
        <f>ROUND(G30*E30,0)</f>
        <v>0</v>
      </c>
      <c r="K30" s="157">
        <f>ROUND(J30*'RATES-Non Fed'!E39,0)</f>
        <v>0</v>
      </c>
      <c r="L30" s="50">
        <f>SUM(J30:K30)</f>
        <v>0</v>
      </c>
      <c r="M30" s="187">
        <f>ROUND(J30*1.02,0)</f>
        <v>0</v>
      </c>
      <c r="N30" s="157">
        <f>ROUND(M30*'RATES-Non Fed'!G39,0)</f>
        <v>0</v>
      </c>
      <c r="O30" s="50">
        <f>SUM(M30:N30)</f>
        <v>0</v>
      </c>
      <c r="P30" s="42">
        <f>SUM(L30+O30)</f>
        <v>0</v>
      </c>
      <c r="Q30" s="5"/>
    </row>
    <row r="31" spans="1:17" ht="15.75">
      <c r="A31" s="1"/>
      <c r="C31" s="13"/>
      <c r="D31" s="1"/>
      <c r="E31" s="70">
        <v>0</v>
      </c>
      <c r="F31" s="98">
        <f>SUM(52*E31/4.33)</f>
        <v>0</v>
      </c>
      <c r="G31" s="69">
        <v>0</v>
      </c>
      <c r="J31" s="202">
        <f>ROUND(G31*E31,0)</f>
        <v>0</v>
      </c>
      <c r="K31" s="203">
        <f>ROUND(J31*'RATES-Non Fed'!E39,0)</f>
        <v>0</v>
      </c>
      <c r="L31" s="204">
        <f>SUM(J31:K31)</f>
        <v>0</v>
      </c>
      <c r="M31" s="202">
        <f>ROUND(J31*1.02,0)</f>
        <v>0</v>
      </c>
      <c r="N31" s="203">
        <f>ROUND(M31*'RATES-Non Fed'!G39,0)</f>
        <v>0</v>
      </c>
      <c r="O31" s="204">
        <f>SUM(M31:N31)</f>
        <v>0</v>
      </c>
      <c r="P31" s="205">
        <f>SUM(L31+O31)</f>
        <v>0</v>
      </c>
      <c r="Q31" s="5"/>
    </row>
    <row r="32" spans="1:17" ht="15.75">
      <c r="A32" s="1"/>
      <c r="C32" s="13"/>
      <c r="D32" s="1" t="s">
        <v>124</v>
      </c>
      <c r="E32" s="70"/>
      <c r="F32" s="70"/>
      <c r="G32" s="69"/>
      <c r="J32" s="193">
        <f aca="true" t="shared" si="8" ref="J32:P32">SUM(J29:J31)</f>
        <v>0</v>
      </c>
      <c r="K32" s="157">
        <f t="shared" si="8"/>
        <v>0</v>
      </c>
      <c r="L32" s="50">
        <f t="shared" si="8"/>
        <v>0</v>
      </c>
      <c r="M32" s="193">
        <f t="shared" si="8"/>
        <v>0</v>
      </c>
      <c r="N32" s="167">
        <f t="shared" si="8"/>
        <v>0</v>
      </c>
      <c r="O32" s="147">
        <f t="shared" si="8"/>
        <v>0</v>
      </c>
      <c r="P32" s="42">
        <f t="shared" si="8"/>
        <v>0</v>
      </c>
      <c r="Q32" s="5"/>
    </row>
    <row r="33" spans="1:17" ht="9.75" customHeight="1">
      <c r="A33" s="1"/>
      <c r="C33" s="13"/>
      <c r="D33" s="1"/>
      <c r="E33" s="70"/>
      <c r="F33" s="70"/>
      <c r="G33" s="69"/>
      <c r="J33" s="193"/>
      <c r="K33" s="157"/>
      <c r="L33" s="50"/>
      <c r="M33" s="193"/>
      <c r="N33" s="167"/>
      <c r="O33" s="147"/>
      <c r="P33" s="42"/>
      <c r="Q33" s="5"/>
    </row>
    <row r="34" spans="1:17" ht="15.75">
      <c r="A34" s="1"/>
      <c r="C34" s="13" t="s">
        <v>87</v>
      </c>
      <c r="D34" s="1"/>
      <c r="E34" s="70">
        <v>0</v>
      </c>
      <c r="F34" s="98">
        <f>SUM(52*E34/4.33)</f>
        <v>0</v>
      </c>
      <c r="G34" s="69">
        <v>0</v>
      </c>
      <c r="J34" s="187">
        <f>ROUND(G34*E34,0)</f>
        <v>0</v>
      </c>
      <c r="K34" s="157">
        <f>ROUND(J34*'RATES-Non Fed'!E43,0)</f>
        <v>0</v>
      </c>
      <c r="L34" s="50">
        <f>SUM(J34:K34)</f>
        <v>0</v>
      </c>
      <c r="M34" s="187">
        <f>ROUND((J34*1.02),0)</f>
        <v>0</v>
      </c>
      <c r="N34" s="157">
        <f>ROUND(M34*'RATES-Non Fed'!G43,0)</f>
        <v>0</v>
      </c>
      <c r="O34" s="50">
        <f>SUM(M34:N34)</f>
        <v>0</v>
      </c>
      <c r="P34" s="42">
        <f>SUM(L34+O34)</f>
        <v>0</v>
      </c>
      <c r="Q34" s="5"/>
    </row>
    <row r="35" spans="1:17" ht="15.75">
      <c r="A35" s="1"/>
      <c r="C35" s="13" t="s">
        <v>18</v>
      </c>
      <c r="D35" s="1"/>
      <c r="E35" s="70">
        <v>0</v>
      </c>
      <c r="F35" s="98">
        <f>SUM(52*E35/4.33)</f>
        <v>0</v>
      </c>
      <c r="G35" s="69">
        <v>0</v>
      </c>
      <c r="J35" s="187">
        <f>ROUND(G35*E35,0)</f>
        <v>0</v>
      </c>
      <c r="K35" s="157">
        <f>ROUND(J35*'RATES-Non Fed'!E42,0)</f>
        <v>0</v>
      </c>
      <c r="L35" s="50">
        <f>SUM(J35:K35)</f>
        <v>0</v>
      </c>
      <c r="M35" s="187">
        <f>ROUND((J35*1.02),0)</f>
        <v>0</v>
      </c>
      <c r="N35" s="157">
        <f>ROUND(M35*'RATES-Non Fed'!G42,0)</f>
        <v>0</v>
      </c>
      <c r="O35" s="50">
        <f>SUM(M35:N35)</f>
        <v>0</v>
      </c>
      <c r="P35" s="42">
        <f>SUM(L35+O35)</f>
        <v>0</v>
      </c>
      <c r="Q35" s="5"/>
    </row>
    <row r="36" spans="1:17" ht="15.75">
      <c r="A36" s="1"/>
      <c r="C36" s="13" t="s">
        <v>19</v>
      </c>
      <c r="D36" s="1"/>
      <c r="E36" s="70">
        <v>0</v>
      </c>
      <c r="F36" s="98">
        <f>SUM(52*E36/4.33)</f>
        <v>0</v>
      </c>
      <c r="G36" s="69">
        <v>0</v>
      </c>
      <c r="J36" s="187">
        <f>ROUND(G36*E36,0)</f>
        <v>0</v>
      </c>
      <c r="K36" s="157">
        <f>ROUND(J36*'RATES-Non Fed'!E42,0)</f>
        <v>0</v>
      </c>
      <c r="L36" s="50">
        <f>SUM(J36:K36)</f>
        <v>0</v>
      </c>
      <c r="M36" s="187">
        <f>ROUND((J36*1.02),0)</f>
        <v>0</v>
      </c>
      <c r="N36" s="157">
        <f>ROUND(M36*'RATES-Non Fed'!G42,0)</f>
        <v>0</v>
      </c>
      <c r="O36" s="50">
        <f>SUM(M36:N36)</f>
        <v>0</v>
      </c>
      <c r="P36" s="42">
        <f>SUM(L36+O36)</f>
        <v>0</v>
      </c>
      <c r="Q36" s="5"/>
    </row>
    <row r="37" spans="1:19" s="94" customFormat="1" ht="15.75">
      <c r="A37" s="142"/>
      <c r="C37" s="141" t="s">
        <v>20</v>
      </c>
      <c r="D37" s="142"/>
      <c r="E37" s="70">
        <v>0</v>
      </c>
      <c r="F37" s="98">
        <f>SUM(52*E37/4.33)</f>
        <v>0</v>
      </c>
      <c r="G37" s="69">
        <v>0</v>
      </c>
      <c r="J37" s="187">
        <f>ROUND(G37*E37,0)</f>
        <v>0</v>
      </c>
      <c r="K37" s="157">
        <f>ROUND(J37*'RATES-Non Fed'!E43,0)</f>
        <v>0</v>
      </c>
      <c r="L37" s="50">
        <f>SUM(J37:K37)</f>
        <v>0</v>
      </c>
      <c r="M37" s="187">
        <f>ROUND((J37*1.02),0)</f>
        <v>0</v>
      </c>
      <c r="N37" s="157">
        <f>ROUND(M37*'RATES-Non Fed'!G43,0)</f>
        <v>0</v>
      </c>
      <c r="O37" s="50">
        <f>SUM(M37:N37)</f>
        <v>0</v>
      </c>
      <c r="P37" s="42">
        <f>SUM(L37+O37)</f>
        <v>0</v>
      </c>
      <c r="Q37" s="149"/>
      <c r="S37"/>
    </row>
    <row r="38" spans="1:19" s="94" customFormat="1" ht="15.75">
      <c r="A38" s="142"/>
      <c r="C38" s="141" t="s">
        <v>88</v>
      </c>
      <c r="D38" s="142"/>
      <c r="E38" s="70">
        <v>0</v>
      </c>
      <c r="F38" s="98">
        <f>SUM(52*E38/4.33)</f>
        <v>0</v>
      </c>
      <c r="G38" s="69">
        <v>0</v>
      </c>
      <c r="J38" s="202">
        <f>ROUND(G38*E38,0)</f>
        <v>0</v>
      </c>
      <c r="K38" s="203">
        <f>ROUND(J38*'RATES-Non Fed'!E41,0)</f>
        <v>0</v>
      </c>
      <c r="L38" s="204">
        <f>SUM(J38:K38)</f>
        <v>0</v>
      </c>
      <c r="M38" s="202">
        <f>ROUND((J38*1.02),0)</f>
        <v>0</v>
      </c>
      <c r="N38" s="210">
        <f>ROUND(M38*'RATES-Non Fed'!G41,0)</f>
        <v>0</v>
      </c>
      <c r="O38" s="204">
        <f>SUM(M38:N38)</f>
        <v>0</v>
      </c>
      <c r="P38" s="205">
        <f>SUM(L38+O38)</f>
        <v>0</v>
      </c>
      <c r="Q38" s="149"/>
      <c r="S38"/>
    </row>
    <row r="39" spans="1:19" ht="15.75">
      <c r="A39" s="1"/>
      <c r="B39" s="1"/>
      <c r="C39" s="1"/>
      <c r="D39" s="188" t="s">
        <v>176</v>
      </c>
      <c r="E39" s="26"/>
      <c r="F39" s="26"/>
      <c r="G39" s="1"/>
      <c r="H39" s="1"/>
      <c r="I39" s="1"/>
      <c r="J39" s="209">
        <f aca="true" t="shared" si="9" ref="J39:O39">SUM(J19+J25+J32+J34+J35+J36+J37+J38)</f>
        <v>0</v>
      </c>
      <c r="K39" s="157">
        <f t="shared" si="9"/>
        <v>0</v>
      </c>
      <c r="L39" s="50">
        <f t="shared" si="9"/>
        <v>0</v>
      </c>
      <c r="M39" s="209">
        <f t="shared" si="9"/>
        <v>0</v>
      </c>
      <c r="N39" s="157">
        <f t="shared" si="9"/>
        <v>0</v>
      </c>
      <c r="O39" s="50">
        <f t="shared" si="9"/>
        <v>0</v>
      </c>
      <c r="P39" s="42">
        <f>SUM(P34:P38)</f>
        <v>0</v>
      </c>
      <c r="Q39" s="5"/>
      <c r="S39" s="214"/>
    </row>
    <row r="40" spans="1:19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6"/>
      <c r="L40" s="176"/>
      <c r="M40" s="64"/>
      <c r="P40" s="64" t="s">
        <v>1</v>
      </c>
      <c r="Q40" s="6"/>
      <c r="S40" s="214"/>
    </row>
    <row r="41" spans="1:19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8"/>
      <c r="L41" s="178"/>
      <c r="M41" s="47">
        <f>SUM(M39+N39)</f>
        <v>0</v>
      </c>
      <c r="N41" s="158"/>
      <c r="O41" s="143"/>
      <c r="P41" s="47">
        <f>SUM(J41+M41)</f>
        <v>0</v>
      </c>
      <c r="Q41" s="29"/>
      <c r="S41"/>
    </row>
    <row r="42" spans="1:17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6"/>
      <c r="L42" s="176"/>
      <c r="M42" s="46"/>
      <c r="N42" s="156"/>
      <c r="O42" s="46"/>
      <c r="P42" s="46" t="s">
        <v>1</v>
      </c>
      <c r="Q42" s="6"/>
    </row>
    <row r="43" spans="1:19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6"/>
      <c r="L43" s="176"/>
      <c r="M43" s="50"/>
      <c r="N43" s="156"/>
      <c r="O43" s="46"/>
      <c r="P43" s="50" t="s">
        <v>1</v>
      </c>
      <c r="Q43" s="6"/>
      <c r="S43" s="31"/>
    </row>
    <row r="44" spans="1:17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6"/>
      <c r="L44" s="176"/>
      <c r="M44" s="42">
        <v>0</v>
      </c>
      <c r="N44" s="157"/>
      <c r="O44" s="50"/>
      <c r="P44" s="42">
        <f>SUM(J44:O44)</f>
        <v>0</v>
      </c>
      <c r="Q44" s="6"/>
    </row>
    <row r="45" spans="1:17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6"/>
      <c r="L45" s="176"/>
      <c r="M45" s="42">
        <v>0</v>
      </c>
      <c r="N45" s="157"/>
      <c r="O45" s="50"/>
      <c r="P45" s="42">
        <f>SUM(J45:O45)</f>
        <v>0</v>
      </c>
      <c r="Q45" s="6"/>
    </row>
    <row r="46" spans="1:17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9"/>
      <c r="L46" s="179"/>
      <c r="M46" s="53">
        <f>SUM(M44:M45)</f>
        <v>0</v>
      </c>
      <c r="N46" s="159"/>
      <c r="O46" s="48"/>
      <c r="P46" s="53">
        <f>SUM(J46:O46)</f>
        <v>0</v>
      </c>
      <c r="Q46" s="29"/>
    </row>
    <row r="47" spans="1:16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6"/>
      <c r="L47" s="176"/>
      <c r="M47" s="46"/>
      <c r="N47" s="156"/>
      <c r="O47" s="46"/>
      <c r="P47" s="46"/>
    </row>
    <row r="48" spans="1:17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/>
      <c r="K48" s="157"/>
      <c r="L48" s="177"/>
      <c r="M48" s="45" t="s">
        <v>1</v>
      </c>
      <c r="N48" s="157"/>
      <c r="O48" s="50"/>
      <c r="P48" s="45"/>
      <c r="Q48" s="5"/>
    </row>
    <row r="49" spans="1:17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7"/>
      <c r="L49" s="177"/>
      <c r="M49" s="42">
        <f>ROUND((J49*1.02),0)</f>
        <v>0</v>
      </c>
      <c r="N49" s="167"/>
      <c r="O49" s="147"/>
      <c r="P49" s="42">
        <f>SUM(J49:O49)</f>
        <v>0</v>
      </c>
      <c r="Q49" s="5"/>
    </row>
    <row r="50" spans="1:17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7"/>
      <c r="L50" s="177"/>
      <c r="M50" s="42">
        <f>ROUND((J50*1.02),0)</f>
        <v>0</v>
      </c>
      <c r="N50" s="167"/>
      <c r="O50" s="147"/>
      <c r="P50" s="42">
        <f>SUM(J50:O50)</f>
        <v>0</v>
      </c>
      <c r="Q50" s="5"/>
    </row>
    <row r="51" spans="1:19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9"/>
      <c r="L51" s="179"/>
      <c r="M51" s="55">
        <f>SUM(M49:M50)</f>
        <v>0</v>
      </c>
      <c r="N51" s="159"/>
      <c r="O51" s="48"/>
      <c r="P51" s="55">
        <f>SUM(J51:O51)</f>
        <v>0</v>
      </c>
      <c r="Q51" s="29"/>
      <c r="S51"/>
    </row>
    <row r="52" spans="1:17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6"/>
      <c r="L52" s="176"/>
      <c r="M52" s="42"/>
      <c r="N52" s="156"/>
      <c r="O52" s="46"/>
      <c r="P52" s="42"/>
      <c r="Q52" s="6"/>
    </row>
    <row r="53" spans="1:19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7"/>
      <c r="L53" s="177"/>
      <c r="M53" s="42" t="s">
        <v>1</v>
      </c>
      <c r="N53" s="157"/>
      <c r="O53" s="50"/>
      <c r="P53" s="42"/>
      <c r="Q53" s="5"/>
      <c r="S53" s="31"/>
    </row>
    <row r="54" spans="1:17" ht="15.75">
      <c r="A54" s="21"/>
      <c r="B54" s="21"/>
      <c r="C54" s="13" t="s">
        <v>35</v>
      </c>
      <c r="D54" s="3"/>
      <c r="E54" s="31"/>
      <c r="F54" s="31"/>
      <c r="J54" s="42">
        <v>0</v>
      </c>
      <c r="K54" s="157"/>
      <c r="L54" s="177"/>
      <c r="M54" s="42">
        <f aca="true" t="shared" si="10" ref="M54:M60">ROUND((J54*1.02),0)</f>
        <v>0</v>
      </c>
      <c r="N54" s="167"/>
      <c r="O54" s="147"/>
      <c r="P54" s="42">
        <f aca="true" t="shared" si="11" ref="P54:P65">SUM(J54:O54)</f>
        <v>0</v>
      </c>
      <c r="Q54" s="5"/>
    </row>
    <row r="55" spans="1:17" ht="15.75">
      <c r="A55" s="21"/>
      <c r="B55" s="21"/>
      <c r="C55" s="13" t="s">
        <v>36</v>
      </c>
      <c r="D55" s="3"/>
      <c r="E55" s="31"/>
      <c r="F55" s="31"/>
      <c r="J55" s="42">
        <v>0</v>
      </c>
      <c r="K55" s="157"/>
      <c r="L55" s="177"/>
      <c r="M55" s="42">
        <f t="shared" si="10"/>
        <v>0</v>
      </c>
      <c r="N55" s="167"/>
      <c r="O55" s="147"/>
      <c r="P55" s="42">
        <f t="shared" si="11"/>
        <v>0</v>
      </c>
      <c r="Q55" s="5"/>
    </row>
    <row r="56" spans="1:17" ht="15.75">
      <c r="A56" s="21"/>
      <c r="B56" s="21"/>
      <c r="C56" s="13" t="s">
        <v>37</v>
      </c>
      <c r="D56" s="3"/>
      <c r="E56" s="31"/>
      <c r="F56" s="31"/>
      <c r="J56" s="42">
        <v>0</v>
      </c>
      <c r="K56" s="157"/>
      <c r="L56" s="177"/>
      <c r="M56" s="42">
        <f t="shared" si="10"/>
        <v>0</v>
      </c>
      <c r="N56" s="167"/>
      <c r="O56" s="147"/>
      <c r="P56" s="42">
        <f t="shared" si="11"/>
        <v>0</v>
      </c>
      <c r="Q56" s="5"/>
    </row>
    <row r="57" spans="1:17" ht="15.75">
      <c r="A57" s="21"/>
      <c r="B57" s="21"/>
      <c r="C57" s="13" t="s">
        <v>38</v>
      </c>
      <c r="D57" s="3"/>
      <c r="E57" s="31"/>
      <c r="F57" s="31"/>
      <c r="J57" s="42">
        <v>0</v>
      </c>
      <c r="K57" s="157"/>
      <c r="L57" s="177"/>
      <c r="M57" s="42">
        <f t="shared" si="10"/>
        <v>0</v>
      </c>
      <c r="N57" s="167"/>
      <c r="O57" s="147"/>
      <c r="P57" s="42">
        <f t="shared" si="11"/>
        <v>0</v>
      </c>
      <c r="Q57" s="5"/>
    </row>
    <row r="58" spans="1:17" ht="15.75">
      <c r="A58" s="21"/>
      <c r="B58" s="21"/>
      <c r="C58" s="236" t="s">
        <v>100</v>
      </c>
      <c r="D58" s="3"/>
      <c r="E58" s="31"/>
      <c r="F58" s="31"/>
      <c r="J58" s="42">
        <v>0</v>
      </c>
      <c r="K58" s="157"/>
      <c r="L58" s="177"/>
      <c r="M58" s="42">
        <f t="shared" si="10"/>
        <v>0</v>
      </c>
      <c r="N58" s="167"/>
      <c r="O58" s="147"/>
      <c r="P58" s="42">
        <f t="shared" si="11"/>
        <v>0</v>
      </c>
      <c r="Q58" s="5"/>
    </row>
    <row r="59" spans="1:17" ht="15.75">
      <c r="A59" s="21"/>
      <c r="B59" s="21"/>
      <c r="C59" s="13" t="s">
        <v>90</v>
      </c>
      <c r="D59" s="3"/>
      <c r="E59" s="31"/>
      <c r="F59" s="31"/>
      <c r="J59" s="42">
        <v>0</v>
      </c>
      <c r="K59" s="157"/>
      <c r="L59" s="177"/>
      <c r="M59" s="42">
        <f t="shared" si="10"/>
        <v>0</v>
      </c>
      <c r="N59" s="168"/>
      <c r="O59" s="42"/>
      <c r="P59" s="42">
        <f t="shared" si="11"/>
        <v>0</v>
      </c>
      <c r="Q59" s="5"/>
    </row>
    <row r="60" spans="1:17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7"/>
      <c r="L60" s="177"/>
      <c r="M60" s="42">
        <f t="shared" si="10"/>
        <v>0</v>
      </c>
      <c r="N60" s="168"/>
      <c r="O60" s="42"/>
      <c r="P60" s="42">
        <f t="shared" si="11"/>
        <v>0</v>
      </c>
      <c r="Q60" s="5"/>
    </row>
    <row r="61" spans="1:18" ht="15.75">
      <c r="A61" s="21"/>
      <c r="B61" s="21"/>
      <c r="C61" s="22" t="s">
        <v>40</v>
      </c>
      <c r="D61" s="10"/>
      <c r="E61" s="31"/>
      <c r="F61" s="31"/>
      <c r="J61" s="42">
        <v>0</v>
      </c>
      <c r="K61" s="157"/>
      <c r="L61" s="177"/>
      <c r="M61" s="42">
        <v>0</v>
      </c>
      <c r="N61" s="167"/>
      <c r="O61" s="147"/>
      <c r="P61" s="42">
        <f t="shared" si="11"/>
        <v>0</v>
      </c>
      <c r="Q61" s="5"/>
      <c r="R61" s="76"/>
    </row>
    <row r="62" spans="1:18" ht="15.75">
      <c r="A62" s="21"/>
      <c r="B62" s="21"/>
      <c r="C62" s="63" t="s">
        <v>41</v>
      </c>
      <c r="D62" s="10"/>
      <c r="E62" s="31"/>
      <c r="F62" s="31"/>
      <c r="J62" s="42">
        <v>0</v>
      </c>
      <c r="K62" s="157"/>
      <c r="L62" s="177"/>
      <c r="M62" s="42">
        <v>0</v>
      </c>
      <c r="N62" s="167"/>
      <c r="O62" s="147"/>
      <c r="P62" s="42">
        <f t="shared" si="11"/>
        <v>0</v>
      </c>
      <c r="Q62" s="5"/>
      <c r="R62" s="76"/>
    </row>
    <row r="63" spans="1:18" ht="15.75">
      <c r="A63" s="21"/>
      <c r="B63" s="21"/>
      <c r="C63" s="63" t="s">
        <v>92</v>
      </c>
      <c r="D63" s="10"/>
      <c r="E63" s="31"/>
      <c r="F63" s="31"/>
      <c r="J63" s="42">
        <v>0</v>
      </c>
      <c r="K63" s="157"/>
      <c r="L63" s="177"/>
      <c r="M63" s="42">
        <v>0</v>
      </c>
      <c r="N63" s="167"/>
      <c r="O63" s="147"/>
      <c r="P63" s="42">
        <f t="shared" si="11"/>
        <v>0</v>
      </c>
      <c r="Q63" s="5"/>
      <c r="R63" s="76"/>
    </row>
    <row r="64" spans="1:18" ht="15.75">
      <c r="A64" s="21"/>
      <c r="B64" s="21"/>
      <c r="C64" s="63" t="s">
        <v>93</v>
      </c>
      <c r="D64" s="10"/>
      <c r="E64" s="31"/>
      <c r="F64" s="31"/>
      <c r="J64" s="42">
        <v>0</v>
      </c>
      <c r="K64" s="157"/>
      <c r="L64" s="177"/>
      <c r="M64" s="42">
        <v>0</v>
      </c>
      <c r="N64" s="167"/>
      <c r="O64" s="147"/>
      <c r="P64" s="42">
        <f t="shared" si="11"/>
        <v>0</v>
      </c>
      <c r="Q64" s="5"/>
      <c r="R64" s="76"/>
    </row>
    <row r="65" spans="1:18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60"/>
      <c r="L65" s="180"/>
      <c r="M65" s="43">
        <f>SUM(M54:M64)</f>
        <v>0</v>
      </c>
      <c r="N65" s="160"/>
      <c r="O65" s="44"/>
      <c r="P65" s="43">
        <f t="shared" si="11"/>
        <v>0</v>
      </c>
      <c r="Q65" s="34"/>
      <c r="R65" s="76"/>
    </row>
    <row r="66" spans="1:17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6"/>
      <c r="L66" s="176"/>
      <c r="M66" s="46"/>
      <c r="N66" s="156"/>
      <c r="O66" s="46"/>
      <c r="P66" s="46" t="s">
        <v>1</v>
      </c>
      <c r="Q66" s="6"/>
    </row>
    <row r="67" spans="1:17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1"/>
      <c r="L67" s="181"/>
      <c r="M67" s="65">
        <f>ROUND(+M65+M51+M46+M41,0)</f>
        <v>0</v>
      </c>
      <c r="N67" s="161"/>
      <c r="O67" s="65"/>
      <c r="P67" s="65">
        <f>SUM(J67:O67)</f>
        <v>0</v>
      </c>
      <c r="Q67" s="34"/>
    </row>
    <row r="68" spans="1:16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1"/>
      <c r="L68" s="181"/>
      <c r="M68" s="65"/>
      <c r="N68" s="169"/>
      <c r="O68" s="196"/>
      <c r="P68" s="65"/>
    </row>
    <row r="69" spans="1:18" ht="15.75">
      <c r="A69" s="28"/>
      <c r="B69" s="28"/>
      <c r="C69" s="28"/>
      <c r="D69" s="21"/>
      <c r="G69" s="39"/>
      <c r="H69" s="96" t="s">
        <v>119</v>
      </c>
      <c r="I69" s="39"/>
      <c r="J69" s="74">
        <f>SUM(J67)</f>
        <v>0</v>
      </c>
      <c r="K69" s="162"/>
      <c r="L69" s="182"/>
      <c r="M69" s="74">
        <f>SUM(M67)</f>
        <v>0</v>
      </c>
      <c r="N69" s="162"/>
      <c r="O69" s="197"/>
      <c r="P69" s="74">
        <f>SUM(J69:O69)</f>
        <v>0</v>
      </c>
      <c r="R69" s="76"/>
    </row>
    <row r="70" spans="1:17" ht="15.75">
      <c r="A70" s="33" t="s">
        <v>118</v>
      </c>
      <c r="B70" s="1"/>
      <c r="C70" s="1"/>
      <c r="J70" s="42"/>
      <c r="K70" s="163"/>
      <c r="L70" s="183"/>
      <c r="M70" s="50"/>
      <c r="N70" s="163"/>
      <c r="O70" s="56"/>
      <c r="P70" s="50"/>
      <c r="Q70" s="5"/>
    </row>
    <row r="71" spans="1:17" ht="15.75">
      <c r="A71" s="13" t="s">
        <v>121</v>
      </c>
      <c r="B71" s="1"/>
      <c r="D71" s="7">
        <f>IF(AND(($E$78)="R",($E$80)="C"),('RATES-Non Fed'!E46),IF(AND(($E$78)="R",($E$80)="O"),('RATES-Non Fed'!E51),IF(AND(($E$78)="I",($E$80)="C"),('RATES-Non Fed'!E47),IF(AND(($E$78)="I",($E$80)="O"),('RATES-Non Fed'!E52),IF(AND(($E$78)="P",($E$80)="C"),('RATES-Non Fed'!E48),IF(AND(($E$78)="P",($E$80)="O"),('RATES-Non Fed'!E53),($E$79)))))))</f>
        <v>0.605</v>
      </c>
      <c r="E71" s="7">
        <f>IF(AND(($E$78)="R",($E$80)="C"),('RATES-Non Fed'!G46),IF(AND(($E$78)="R",($E$80)="O"),('RATES-Non Fed'!G51),IF(AND(($E$78)="I",($E$80)="C"),('RATES-Non Fed'!G47),IF(AND(($E$78)="I",($E$80)="O"),('RATES-Non Fed'!G52),IF(AND(($E$78)="P",($E$80)="C"),('RATES-Non Fed'!G48),IF(AND(($E$78)="P",($E$80)="O"),('RATES-Non Fed'!G53),($E$79)))))))</f>
        <v>0.605</v>
      </c>
      <c r="F71" s="7"/>
      <c r="G71" s="7"/>
      <c r="H71" s="7"/>
      <c r="J71" s="50">
        <f>SUM(J69*D71)</f>
        <v>0</v>
      </c>
      <c r="K71" s="157"/>
      <c r="L71" s="177"/>
      <c r="M71" s="50">
        <f>SUM(M69*E71)</f>
        <v>0</v>
      </c>
      <c r="N71" s="157"/>
      <c r="O71" s="50"/>
      <c r="P71" s="50">
        <f>SUM(J71:O71)</f>
        <v>0</v>
      </c>
      <c r="Q71" s="5"/>
    </row>
    <row r="72" spans="1:17" ht="15.75">
      <c r="A72" s="40" t="s">
        <v>120</v>
      </c>
      <c r="B72" s="1"/>
      <c r="C72" s="24"/>
      <c r="D72" s="35"/>
      <c r="E72" s="7"/>
      <c r="F72" s="7"/>
      <c r="G72" s="7"/>
      <c r="H72" s="7"/>
      <c r="I72" s="7"/>
      <c r="J72" s="53">
        <f>SUM(J71:J71)</f>
        <v>0</v>
      </c>
      <c r="K72" s="160"/>
      <c r="L72" s="180"/>
      <c r="M72" s="53">
        <f>SUM(M71:M71)</f>
        <v>0</v>
      </c>
      <c r="N72" s="160"/>
      <c r="O72" s="44"/>
      <c r="P72" s="53">
        <f>SUM(J72:O72)</f>
        <v>0</v>
      </c>
      <c r="Q72" s="5"/>
    </row>
    <row r="73" spans="1:17" ht="6.75" customHeight="1">
      <c r="A73" s="40"/>
      <c r="B73" s="1"/>
      <c r="C73" s="24"/>
      <c r="D73" s="35"/>
      <c r="E73" s="7"/>
      <c r="F73" s="7"/>
      <c r="G73" s="7"/>
      <c r="H73" s="7"/>
      <c r="I73" s="7"/>
      <c r="J73" s="61"/>
      <c r="K73" s="160"/>
      <c r="L73" s="180"/>
      <c r="M73" s="62"/>
      <c r="N73" s="160"/>
      <c r="O73" s="44"/>
      <c r="P73" s="62"/>
      <c r="Q73" s="5"/>
    </row>
    <row r="74" spans="1:17" ht="19.5" thickBot="1">
      <c r="A74" s="40"/>
      <c r="B74" s="1"/>
      <c r="C74" s="60" t="s">
        <v>44</v>
      </c>
      <c r="D74" s="35"/>
      <c r="E74" s="7"/>
      <c r="F74" s="7"/>
      <c r="G74" s="7"/>
      <c r="H74" s="7"/>
      <c r="I74" s="7"/>
      <c r="J74" s="72">
        <f>J72+J67</f>
        <v>0</v>
      </c>
      <c r="K74" s="161"/>
      <c r="L74" s="181"/>
      <c r="M74" s="72">
        <f>M72+M67</f>
        <v>0</v>
      </c>
      <c r="N74" s="161"/>
      <c r="O74" s="65"/>
      <c r="P74" s="72">
        <f>SUM(J74:O74)</f>
        <v>0</v>
      </c>
      <c r="Q74" s="5"/>
    </row>
    <row r="75" spans="1:17" ht="8.25" customHeight="1" thickTop="1">
      <c r="A75" s="28"/>
      <c r="B75" s="1"/>
      <c r="C75" s="35"/>
      <c r="D75" s="7"/>
      <c r="E75" s="7"/>
      <c r="F75" s="7"/>
      <c r="G75" s="7"/>
      <c r="H75" s="7"/>
      <c r="I75" s="7"/>
      <c r="J75" s="50"/>
      <c r="K75" s="157"/>
      <c r="L75" s="177"/>
      <c r="M75" s="50"/>
      <c r="N75" s="157"/>
      <c r="O75" s="50"/>
      <c r="P75" s="50" t="s">
        <v>1</v>
      </c>
      <c r="Q75" s="5"/>
    </row>
    <row r="76" spans="1:17" ht="9" customHeight="1">
      <c r="A76" s="1"/>
      <c r="B76" s="1"/>
      <c r="C76" s="1"/>
      <c r="D76" s="1"/>
      <c r="E76" s="1"/>
      <c r="F76" s="1"/>
      <c r="G76" s="1"/>
      <c r="H76" s="1"/>
      <c r="I76" s="1"/>
      <c r="J76" s="49"/>
      <c r="K76" s="164"/>
      <c r="L76" s="184"/>
      <c r="M76" s="58"/>
      <c r="N76" s="164"/>
      <c r="O76" s="57"/>
      <c r="P76" s="58"/>
      <c r="Q76" s="1"/>
    </row>
    <row r="77" ht="15.75">
      <c r="C77" s="36" t="s">
        <v>122</v>
      </c>
    </row>
    <row r="78" spans="3:7" ht="15.75">
      <c r="C78" s="14" t="s">
        <v>45</v>
      </c>
      <c r="E78" s="15" t="s">
        <v>46</v>
      </c>
      <c r="G78" s="14" t="s">
        <v>47</v>
      </c>
    </row>
    <row r="79" spans="3:6" ht="15.75">
      <c r="C79" s="14" t="s">
        <v>169</v>
      </c>
      <c r="E79" s="9">
        <v>0</v>
      </c>
      <c r="F79" s="9"/>
    </row>
    <row r="80" spans="3:7" ht="15.75">
      <c r="C80" s="14" t="s">
        <v>48</v>
      </c>
      <c r="E80" s="172" t="s">
        <v>49</v>
      </c>
      <c r="G80" s="14" t="s">
        <v>50</v>
      </c>
    </row>
    <row r="83" spans="4:13" ht="15.75">
      <c r="D83" s="223" t="s">
        <v>194</v>
      </c>
      <c r="H83" s="221">
        <f>+'RATES-Non Fed'!E31</f>
        <v>0.605</v>
      </c>
      <c r="J83" s="220">
        <f>J72/12*'RATES-Non Fed'!$C$46</f>
        <v>0</v>
      </c>
      <c r="L83" s="221">
        <f>+'RATES-Non Fed'!G31</f>
        <v>0.605</v>
      </c>
      <c r="M83" s="220">
        <f>M72/12*'RATES-Non Fed'!$C$46</f>
        <v>0</v>
      </c>
    </row>
    <row r="84" spans="4:16" ht="18.75">
      <c r="D84" s="274" t="s">
        <v>195</v>
      </c>
      <c r="E84" s="274"/>
      <c r="F84" s="274"/>
      <c r="G84" s="274"/>
      <c r="H84" s="221">
        <f>+'RATES-Non Fed'!G31</f>
        <v>0.605</v>
      </c>
      <c r="J84" s="220">
        <f>J72/12*'RATES-Non Fed'!$D$46</f>
        <v>0</v>
      </c>
      <c r="L84" s="221">
        <f>+'RATES-Non Fed'!I31</f>
        <v>0.605</v>
      </c>
      <c r="M84" s="220">
        <f>M72/12*'RATES-Non Fed'!$D$46</f>
        <v>0</v>
      </c>
      <c r="N84" s="285">
        <f>'RATES-Non Fed'!Q67</f>
        <v>0</v>
      </c>
      <c r="O84" s="285"/>
      <c r="P84" s="285"/>
    </row>
    <row r="85" spans="4:13" ht="15.75">
      <c r="D85" s="274"/>
      <c r="E85" s="274"/>
      <c r="F85" s="274"/>
      <c r="G85" s="274"/>
      <c r="J85" s="220">
        <f>SUM(J83:J84)</f>
        <v>0</v>
      </c>
      <c r="M85" s="220">
        <f>SUM(M83:M84)</f>
        <v>0</v>
      </c>
    </row>
  </sheetData>
  <sheetProtection/>
  <mergeCells count="5">
    <mergeCell ref="K4:O5"/>
    <mergeCell ref="J8:L8"/>
    <mergeCell ref="M8:O8"/>
    <mergeCell ref="N84:P84"/>
    <mergeCell ref="D84:G85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 horizontalCentered="1"/>
  <pageMargins left="0.5" right="0.3" top="0.5" bottom="0.5" header="0.5" footer="0.5"/>
  <pageSetup fitToHeight="1" fitToWidth="1" horizontalDpi="300" verticalDpi="300" orientation="portrait" scale="61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84"/>
  <sheetViews>
    <sheetView showGridLines="0" zoomScale="75" zoomScaleNormal="75" workbookViewId="0" topLeftCell="A1">
      <selection activeCell="Q25" sqref="Q25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5" bestFit="1" customWidth="1"/>
    <col min="12" max="12" width="10.125" style="185" bestFit="1" customWidth="1"/>
    <col min="13" max="13" width="11.25390625" style="0" customWidth="1"/>
    <col min="14" max="14" width="9.25390625" style="165" bestFit="1" customWidth="1"/>
    <col min="15" max="15" width="9.50390625" style="94" bestFit="1" customWidth="1"/>
    <col min="16" max="16" width="11.25390625" style="0" customWidth="1"/>
    <col min="17" max="17" width="9.25390625" style="165" bestFit="1" customWidth="1"/>
    <col min="18" max="18" width="8.75390625" style="94" bestFit="1" customWidth="1"/>
    <col min="19" max="19" width="14.625" style="0" customWidth="1"/>
    <col min="20" max="20" width="2.625" style="0" customWidth="1"/>
  </cols>
  <sheetData>
    <row r="1" spans="1:18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1"/>
      <c r="L1" s="173"/>
      <c r="M1" s="37"/>
      <c r="N1" s="166"/>
      <c r="O1" s="195"/>
      <c r="P1" s="37"/>
      <c r="Q1" s="166"/>
      <c r="R1" s="195"/>
    </row>
    <row r="2" spans="1:19" ht="18.75">
      <c r="A2" s="17" t="s">
        <v>178</v>
      </c>
      <c r="B2" s="18"/>
      <c r="C2" s="18"/>
      <c r="D2" s="18"/>
      <c r="E2" s="18"/>
      <c r="F2" s="18"/>
      <c r="G2" s="18"/>
      <c r="H2" s="18"/>
      <c r="I2" s="18"/>
      <c r="J2" s="19"/>
      <c r="K2" s="151"/>
      <c r="L2" s="173"/>
      <c r="M2" s="37"/>
      <c r="N2" s="166"/>
      <c r="O2" s="195"/>
      <c r="P2" s="37"/>
      <c r="Q2" s="166"/>
      <c r="R2" s="195"/>
      <c r="S2" s="37"/>
    </row>
    <row r="3" spans="1:19" ht="9.75" customHeight="1">
      <c r="A3" s="10" t="s">
        <v>1</v>
      </c>
      <c r="B3" s="1"/>
      <c r="J3" s="11" t="s">
        <v>1</v>
      </c>
      <c r="K3" s="152"/>
      <c r="L3" s="174"/>
      <c r="M3" s="8"/>
      <c r="P3" s="8"/>
      <c r="S3" s="8"/>
    </row>
    <row r="4" spans="1:19" ht="15.75">
      <c r="A4" s="22" t="s">
        <v>2</v>
      </c>
      <c r="B4" s="1"/>
      <c r="D4" s="10" t="s">
        <v>69</v>
      </c>
      <c r="G4" s="3"/>
      <c r="J4" s="20" t="s">
        <v>3</v>
      </c>
      <c r="K4" s="275" t="s">
        <v>69</v>
      </c>
      <c r="L4" s="276"/>
      <c r="M4" s="277"/>
      <c r="N4" s="277"/>
      <c r="O4" s="277"/>
      <c r="P4" s="277"/>
      <c r="Q4" s="277"/>
      <c r="R4" s="278"/>
      <c r="S4" s="8"/>
    </row>
    <row r="5" spans="1:19" ht="18.75">
      <c r="A5" s="22" t="s">
        <v>4</v>
      </c>
      <c r="B5" s="1"/>
      <c r="D5" s="10" t="s">
        <v>69</v>
      </c>
      <c r="E5" s="3"/>
      <c r="F5" s="3"/>
      <c r="H5" s="2"/>
      <c r="I5" s="2"/>
      <c r="J5" s="38"/>
      <c r="K5" s="279"/>
      <c r="L5" s="280"/>
      <c r="M5" s="280"/>
      <c r="N5" s="280"/>
      <c r="O5" s="280"/>
      <c r="P5" s="280"/>
      <c r="Q5" s="280"/>
      <c r="R5" s="281"/>
      <c r="S5" s="8"/>
    </row>
    <row r="6" spans="1:19" ht="15.75">
      <c r="A6" s="14"/>
      <c r="B6" s="22" t="s">
        <v>5</v>
      </c>
      <c r="D6" s="73">
        <f>'RATES-Non Fed'!E2</f>
        <v>42917</v>
      </c>
      <c r="E6" s="12" t="s">
        <v>6</v>
      </c>
      <c r="F6" s="12"/>
      <c r="G6" s="73">
        <f>'RATES-Non Fed'!G2</f>
        <v>44742</v>
      </c>
      <c r="H6" s="4"/>
      <c r="I6" s="4"/>
      <c r="J6" s="2"/>
      <c r="K6" s="153"/>
      <c r="L6" s="175"/>
      <c r="M6" s="3"/>
      <c r="N6" s="153"/>
      <c r="O6" s="148"/>
      <c r="P6" s="3"/>
      <c r="Q6" s="153"/>
      <c r="R6" s="148"/>
      <c r="S6" s="8"/>
    </row>
    <row r="7" spans="5:20" ht="7.5" customHeight="1">
      <c r="E7" s="3"/>
      <c r="F7" s="3"/>
      <c r="G7" s="1"/>
      <c r="H7" s="1"/>
      <c r="I7" s="1"/>
      <c r="J7" s="16" t="s">
        <v>1</v>
      </c>
      <c r="K7" s="152"/>
      <c r="L7" s="174"/>
      <c r="M7" s="8"/>
      <c r="N7" s="152"/>
      <c r="O7" s="142"/>
      <c r="P7" s="8"/>
      <c r="Q7" s="152"/>
      <c r="R7" s="142"/>
      <c r="S7" s="8"/>
      <c r="T7" s="1"/>
    </row>
    <row r="8" spans="1:20" ht="15.75">
      <c r="A8" s="21"/>
      <c r="B8" s="21"/>
      <c r="C8" s="21"/>
      <c r="D8" s="21"/>
      <c r="E8" s="21"/>
      <c r="F8" s="21"/>
      <c r="G8" s="21"/>
      <c r="H8" s="21"/>
      <c r="I8" s="21"/>
      <c r="J8" s="264" t="s">
        <v>21</v>
      </c>
      <c r="K8" s="265"/>
      <c r="L8" s="266"/>
      <c r="M8" s="282" t="s">
        <v>52</v>
      </c>
      <c r="N8" s="283"/>
      <c r="O8" s="284"/>
      <c r="P8" s="282" t="s">
        <v>54</v>
      </c>
      <c r="Q8" s="283"/>
      <c r="R8" s="284"/>
      <c r="S8" s="171" t="s">
        <v>8</v>
      </c>
      <c r="T8" s="21"/>
    </row>
    <row r="9" spans="1:20" s="146" customFormat="1" ht="15.75">
      <c r="A9" s="144" t="s">
        <v>9</v>
      </c>
      <c r="B9" s="144" t="s">
        <v>10</v>
      </c>
      <c r="C9" s="144"/>
      <c r="D9" s="144"/>
      <c r="E9" s="144"/>
      <c r="F9" s="144"/>
      <c r="G9" s="144"/>
      <c r="H9" s="144"/>
      <c r="I9" s="144"/>
      <c r="J9" s="189" t="s">
        <v>173</v>
      </c>
      <c r="K9" s="154" t="s">
        <v>174</v>
      </c>
      <c r="L9" s="144" t="s">
        <v>175</v>
      </c>
      <c r="M9" s="194" t="s">
        <v>173</v>
      </c>
      <c r="N9" s="154" t="s">
        <v>174</v>
      </c>
      <c r="O9" s="144" t="s">
        <v>175</v>
      </c>
      <c r="P9" s="194" t="s">
        <v>173</v>
      </c>
      <c r="Q9" s="154" t="s">
        <v>174</v>
      </c>
      <c r="R9" s="144" t="s">
        <v>175</v>
      </c>
      <c r="S9" s="145"/>
      <c r="T9" s="144"/>
    </row>
    <row r="10" spans="1:20" ht="15.75">
      <c r="A10" s="1"/>
      <c r="B10" s="23" t="s">
        <v>11</v>
      </c>
      <c r="C10" s="24"/>
      <c r="D10" s="24" t="s">
        <v>99</v>
      </c>
      <c r="E10" s="1" t="s">
        <v>12</v>
      </c>
      <c r="F10" s="41" t="s">
        <v>125</v>
      </c>
      <c r="G10" s="41" t="s">
        <v>13</v>
      </c>
      <c r="H10" s="1"/>
      <c r="I10" s="1"/>
      <c r="J10" s="190"/>
      <c r="K10" s="152"/>
      <c r="L10" s="142"/>
      <c r="M10" s="190"/>
      <c r="N10" s="152"/>
      <c r="O10" s="142"/>
      <c r="P10" s="190"/>
      <c r="Q10" s="152"/>
      <c r="R10" s="142"/>
      <c r="S10" s="2">
        <f>IF(SUM(J10:N10)=0,"",SUM(J10:N10))</f>
      </c>
      <c r="T10" s="1"/>
    </row>
    <row r="11" spans="1:20" ht="15.75">
      <c r="A11" s="1"/>
      <c r="B11" s="1" t="s">
        <v>14</v>
      </c>
      <c r="C11" s="10" t="str">
        <f>D5</f>
        <v>name</v>
      </c>
      <c r="D11" s="140" t="s">
        <v>127</v>
      </c>
      <c r="E11" s="70">
        <v>0</v>
      </c>
      <c r="F11" s="99">
        <f aca="true" t="shared" si="0" ref="F11:F18">IF(D11="CAL",(52*E11/4.3333),(IF(D11="ACAD",(32*E11/4.33333),IF(D11="SUMR",(14*E11/4.33333),IF(D11="PT",(0),0)))))</f>
        <v>0</v>
      </c>
      <c r="G11" s="69">
        <v>0</v>
      </c>
      <c r="J11" s="187">
        <f>ROUND(G11*E11,0)</f>
        <v>0</v>
      </c>
      <c r="K11" s="155">
        <f>ROUND(J11*'RATES-Non Fed'!E38,0)</f>
        <v>0</v>
      </c>
      <c r="L11" s="67">
        <f>ROUND(K11+J11,0)</f>
        <v>0</v>
      </c>
      <c r="M11" s="187">
        <f>ROUND((J11*1.02),0)</f>
        <v>0</v>
      </c>
      <c r="N11" s="155">
        <f>ROUND(M11*'RATES-Non Fed'!G38,0)</f>
        <v>0</v>
      </c>
      <c r="O11" s="67">
        <f aca="true" t="shared" si="1" ref="O11:O18">ROUND(M11+N11,0)</f>
        <v>0</v>
      </c>
      <c r="P11" s="187">
        <f>ROUND((M11*1.02),0)</f>
        <v>0</v>
      </c>
      <c r="Q11" s="155">
        <f>ROUND(P11*'RATES-Non Fed'!I38,0)</f>
        <v>0</v>
      </c>
      <c r="R11" s="67">
        <f>SUM(P11:Q11)</f>
        <v>0</v>
      </c>
      <c r="S11" s="42">
        <f>SUM(L11+O11+R11)</f>
        <v>0</v>
      </c>
      <c r="T11" s="1"/>
    </row>
    <row r="12" spans="1:20" ht="15.75">
      <c r="A12" s="1"/>
      <c r="B12" s="1" t="s">
        <v>14</v>
      </c>
      <c r="C12" s="3"/>
      <c r="D12" s="140" t="str">
        <f>IF(D11="ACAD",("SUMR"),"")</f>
        <v>SUMR</v>
      </c>
      <c r="E12" s="70">
        <v>0</v>
      </c>
      <c r="F12" s="99">
        <f t="shared" si="0"/>
        <v>0</v>
      </c>
      <c r="G12" s="69">
        <f>+G11*0.4375</f>
        <v>0</v>
      </c>
      <c r="J12" s="187">
        <f aca="true" t="shared" si="2" ref="J12:J18">ROUND(G12*E12,0)</f>
        <v>0</v>
      </c>
      <c r="K12" s="155">
        <f>ROUND(J12*'RATES-Non Fed'!E38,0)</f>
        <v>0</v>
      </c>
      <c r="L12" s="67">
        <f aca="true" t="shared" si="3" ref="L12:L18">ROUND(K12+J12,0)</f>
        <v>0</v>
      </c>
      <c r="M12" s="187">
        <f aca="true" t="shared" si="4" ref="M12:M18">ROUND((J12*1.02),0)</f>
        <v>0</v>
      </c>
      <c r="N12" s="155">
        <f>ROUND(M12*'RATES-Non Fed'!G38,0)</f>
        <v>0</v>
      </c>
      <c r="O12" s="67">
        <f t="shared" si="1"/>
        <v>0</v>
      </c>
      <c r="P12" s="187">
        <f aca="true" t="shared" si="5" ref="P12:P18">ROUND((M12*1.02),0)</f>
        <v>0</v>
      </c>
      <c r="Q12" s="155">
        <f>ROUND(P12*'RATES-Non Fed'!I38,0)</f>
        <v>0</v>
      </c>
      <c r="R12" s="67">
        <f aca="true" t="shared" si="6" ref="R12:R18">SUM(P12:Q12)</f>
        <v>0</v>
      </c>
      <c r="S12" s="42">
        <f aca="true" t="shared" si="7" ref="S12:S18">SUM(L12+O12+R12)</f>
        <v>0</v>
      </c>
      <c r="T12" s="1"/>
    </row>
    <row r="13" spans="1:20" ht="15.75">
      <c r="A13" s="1"/>
      <c r="B13" s="1" t="s">
        <v>15</v>
      </c>
      <c r="C13" s="3"/>
      <c r="D13" s="140" t="s">
        <v>127</v>
      </c>
      <c r="E13" s="70">
        <v>0</v>
      </c>
      <c r="F13" s="99">
        <f t="shared" si="0"/>
        <v>0</v>
      </c>
      <c r="G13" s="69">
        <v>0</v>
      </c>
      <c r="J13" s="187">
        <f t="shared" si="2"/>
        <v>0</v>
      </c>
      <c r="K13" s="155">
        <f>ROUND(J13*'RATES-Non Fed'!E38,0)</f>
        <v>0</v>
      </c>
      <c r="L13" s="67">
        <f t="shared" si="3"/>
        <v>0</v>
      </c>
      <c r="M13" s="187">
        <f t="shared" si="4"/>
        <v>0</v>
      </c>
      <c r="N13" s="155">
        <f>ROUND(M13*'RATES-Non Fed'!G38,0)</f>
        <v>0</v>
      </c>
      <c r="O13" s="67">
        <f t="shared" si="1"/>
        <v>0</v>
      </c>
      <c r="P13" s="187">
        <f t="shared" si="5"/>
        <v>0</v>
      </c>
      <c r="Q13" s="155">
        <f>ROUND(P13*'RATES-Non Fed'!I38,0)</f>
        <v>0</v>
      </c>
      <c r="R13" s="67">
        <f t="shared" si="6"/>
        <v>0</v>
      </c>
      <c r="S13" s="42">
        <f t="shared" si="7"/>
        <v>0</v>
      </c>
      <c r="T13" s="1"/>
    </row>
    <row r="14" spans="1:19" ht="15.75">
      <c r="A14" s="1"/>
      <c r="B14" s="1"/>
      <c r="C14" s="3"/>
      <c r="D14" s="140" t="str">
        <f>IF(D13="ACAD",("SUMR"),"")</f>
        <v>SUMR</v>
      </c>
      <c r="E14" s="70">
        <v>0</v>
      </c>
      <c r="F14" s="99">
        <f t="shared" si="0"/>
        <v>0</v>
      </c>
      <c r="G14" s="69">
        <f>+G13*0.4375</f>
        <v>0</v>
      </c>
      <c r="J14" s="187">
        <f t="shared" si="2"/>
        <v>0</v>
      </c>
      <c r="K14" s="155">
        <f>ROUND(J14*'RATES-Non Fed'!E38,0)</f>
        <v>0</v>
      </c>
      <c r="L14" s="67">
        <f t="shared" si="3"/>
        <v>0</v>
      </c>
      <c r="M14" s="187">
        <f t="shared" si="4"/>
        <v>0</v>
      </c>
      <c r="N14" s="155">
        <f>ROUND(M14*'RATES-Non Fed'!G38,0)</f>
        <v>0</v>
      </c>
      <c r="O14" s="67">
        <f t="shared" si="1"/>
        <v>0</v>
      </c>
      <c r="P14" s="187">
        <f t="shared" si="5"/>
        <v>0</v>
      </c>
      <c r="Q14" s="155">
        <f>ROUND(P14*'RATES-Non Fed'!I38,0)</f>
        <v>0</v>
      </c>
      <c r="R14" s="67">
        <f t="shared" si="6"/>
        <v>0</v>
      </c>
      <c r="S14" s="42">
        <f t="shared" si="7"/>
        <v>0</v>
      </c>
    </row>
    <row r="15" spans="1:20" ht="15.75">
      <c r="A15" s="1"/>
      <c r="B15" s="1" t="s">
        <v>15</v>
      </c>
      <c r="C15" s="3"/>
      <c r="D15" s="140" t="s">
        <v>127</v>
      </c>
      <c r="E15" s="70">
        <v>0</v>
      </c>
      <c r="F15" s="99">
        <f t="shared" si="0"/>
        <v>0</v>
      </c>
      <c r="G15" s="69">
        <v>0</v>
      </c>
      <c r="J15" s="187">
        <f t="shared" si="2"/>
        <v>0</v>
      </c>
      <c r="K15" s="155">
        <f>ROUND(J15*'RATES-Non Fed'!E38,0)</f>
        <v>0</v>
      </c>
      <c r="L15" s="67">
        <f t="shared" si="3"/>
        <v>0</v>
      </c>
      <c r="M15" s="187">
        <f t="shared" si="4"/>
        <v>0</v>
      </c>
      <c r="N15" s="155">
        <f>ROUND(M15*'RATES-Non Fed'!G38,0)</f>
        <v>0</v>
      </c>
      <c r="O15" s="67">
        <f t="shared" si="1"/>
        <v>0</v>
      </c>
      <c r="P15" s="187">
        <f t="shared" si="5"/>
        <v>0</v>
      </c>
      <c r="Q15" s="155">
        <f>ROUND(P15*'RATES-Non Fed'!I38,0)</f>
        <v>0</v>
      </c>
      <c r="R15" s="67">
        <f t="shared" si="6"/>
        <v>0</v>
      </c>
      <c r="S15" s="42">
        <f t="shared" si="7"/>
        <v>0</v>
      </c>
      <c r="T15" s="1"/>
    </row>
    <row r="16" spans="1:19" ht="15.75">
      <c r="A16" s="1"/>
      <c r="B16" s="1"/>
      <c r="C16" s="3"/>
      <c r="D16" s="140" t="str">
        <f>IF(D15="ACAD",("SUMR"),"")</f>
        <v>SUMR</v>
      </c>
      <c r="E16" s="70">
        <v>0</v>
      </c>
      <c r="F16" s="99">
        <f t="shared" si="0"/>
        <v>0</v>
      </c>
      <c r="G16" s="69">
        <f>+G15*0.4375</f>
        <v>0</v>
      </c>
      <c r="J16" s="187">
        <f t="shared" si="2"/>
        <v>0</v>
      </c>
      <c r="K16" s="155">
        <f>ROUND(J16*'RATES-Non Fed'!E38,0)</f>
        <v>0</v>
      </c>
      <c r="L16" s="67">
        <f t="shared" si="3"/>
        <v>0</v>
      </c>
      <c r="M16" s="187">
        <f t="shared" si="4"/>
        <v>0</v>
      </c>
      <c r="N16" s="155">
        <f>ROUND(M16*'RATES-Non Fed'!G38,0)</f>
        <v>0</v>
      </c>
      <c r="O16" s="67">
        <f t="shared" si="1"/>
        <v>0</v>
      </c>
      <c r="P16" s="187">
        <f t="shared" si="5"/>
        <v>0</v>
      </c>
      <c r="Q16" s="155">
        <f>ROUND(P16*'RATES-Non Fed'!I38,0)</f>
        <v>0</v>
      </c>
      <c r="R16" s="67">
        <f t="shared" si="6"/>
        <v>0</v>
      </c>
      <c r="S16" s="42">
        <f t="shared" si="7"/>
        <v>0</v>
      </c>
    </row>
    <row r="17" spans="1:20" ht="15.75">
      <c r="A17" s="1"/>
      <c r="B17" s="1" t="s">
        <v>15</v>
      </c>
      <c r="C17" s="3"/>
      <c r="D17" s="140" t="s">
        <v>126</v>
      </c>
      <c r="E17" s="70">
        <v>0</v>
      </c>
      <c r="F17" s="99">
        <f t="shared" si="0"/>
        <v>0</v>
      </c>
      <c r="G17" s="69">
        <v>0</v>
      </c>
      <c r="J17" s="187">
        <f t="shared" si="2"/>
        <v>0</v>
      </c>
      <c r="K17" s="155">
        <f>ROUND(J17*'RATES-Non Fed'!E38,0)</f>
        <v>0</v>
      </c>
      <c r="L17" s="67">
        <f t="shared" si="3"/>
        <v>0</v>
      </c>
      <c r="M17" s="187">
        <f t="shared" si="4"/>
        <v>0</v>
      </c>
      <c r="N17" s="155">
        <f>ROUND(M17*'RATES-Non Fed'!G38,0)</f>
        <v>0</v>
      </c>
      <c r="O17" s="67">
        <f t="shared" si="1"/>
        <v>0</v>
      </c>
      <c r="P17" s="187">
        <f t="shared" si="5"/>
        <v>0</v>
      </c>
      <c r="Q17" s="155">
        <f>ROUND(P17*'RATES-Non Fed'!I38,0)</f>
        <v>0</v>
      </c>
      <c r="R17" s="67">
        <f t="shared" si="6"/>
        <v>0</v>
      </c>
      <c r="S17" s="42">
        <f t="shared" si="7"/>
        <v>0</v>
      </c>
      <c r="T17" s="1"/>
    </row>
    <row r="18" spans="1:19" ht="15.75">
      <c r="A18" s="1"/>
      <c r="B18" s="1" t="s">
        <v>15</v>
      </c>
      <c r="C18" s="3"/>
      <c r="D18" s="140" t="s">
        <v>126</v>
      </c>
      <c r="E18" s="70">
        <v>0</v>
      </c>
      <c r="F18" s="99">
        <f t="shared" si="0"/>
        <v>0</v>
      </c>
      <c r="G18" s="69">
        <v>0</v>
      </c>
      <c r="J18" s="202">
        <f t="shared" si="2"/>
        <v>0</v>
      </c>
      <c r="K18" s="207">
        <f>ROUND(J18*'RATES-Non Fed'!E38,0)</f>
        <v>0</v>
      </c>
      <c r="L18" s="208">
        <f t="shared" si="3"/>
        <v>0</v>
      </c>
      <c r="M18" s="202">
        <f t="shared" si="4"/>
        <v>0</v>
      </c>
      <c r="N18" s="207">
        <f>ROUND(M18*'RATES-Non Fed'!G38,0)</f>
        <v>0</v>
      </c>
      <c r="O18" s="208">
        <f t="shared" si="1"/>
        <v>0</v>
      </c>
      <c r="P18" s="202">
        <f t="shared" si="5"/>
        <v>0</v>
      </c>
      <c r="Q18" s="207">
        <f>ROUND(P18*'RATES-Non Fed'!I38,0)</f>
        <v>0</v>
      </c>
      <c r="R18" s="208">
        <f t="shared" si="6"/>
        <v>0</v>
      </c>
      <c r="S18" s="205">
        <f t="shared" si="7"/>
        <v>0</v>
      </c>
    </row>
    <row r="19" spans="1:20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6">
        <f aca="true" t="shared" si="8" ref="J19:R19">SUM(J11:J18)</f>
        <v>0</v>
      </c>
      <c r="K19" s="156">
        <f t="shared" si="8"/>
        <v>0</v>
      </c>
      <c r="L19" s="46">
        <f t="shared" si="8"/>
        <v>0</v>
      </c>
      <c r="M19" s="206">
        <f t="shared" si="8"/>
        <v>0</v>
      </c>
      <c r="N19" s="156">
        <f t="shared" si="8"/>
        <v>0</v>
      </c>
      <c r="O19" s="46">
        <f t="shared" si="8"/>
        <v>0</v>
      </c>
      <c r="P19" s="206">
        <f t="shared" si="8"/>
        <v>0</v>
      </c>
      <c r="Q19" s="156">
        <f t="shared" si="8"/>
        <v>0</v>
      </c>
      <c r="R19" s="46">
        <f t="shared" si="8"/>
        <v>0</v>
      </c>
      <c r="S19" s="42">
        <f>SUM(S11:S18)</f>
        <v>0</v>
      </c>
      <c r="T19" s="6"/>
    </row>
    <row r="20" spans="1:18" ht="15.75">
      <c r="A20" s="21" t="s">
        <v>226</v>
      </c>
      <c r="B20" s="21" t="s">
        <v>227</v>
      </c>
      <c r="C20" s="1"/>
      <c r="D20" s="25"/>
      <c r="E20" s="26"/>
      <c r="F20" s="26"/>
      <c r="G20" s="1"/>
      <c r="H20" s="1"/>
      <c r="I20" s="1"/>
      <c r="J20" s="206"/>
      <c r="K20" s="156"/>
      <c r="L20" s="46"/>
      <c r="M20" s="42"/>
      <c r="N20" s="6"/>
      <c r="O20"/>
      <c r="Q20"/>
      <c r="R20"/>
    </row>
    <row r="21" spans="1:19" ht="15.75">
      <c r="A21" s="1"/>
      <c r="B21" s="1" t="s">
        <v>15</v>
      </c>
      <c r="C21" s="3"/>
      <c r="D21" s="140" t="s">
        <v>126</v>
      </c>
      <c r="E21" s="70">
        <v>0</v>
      </c>
      <c r="F21" s="99">
        <f>IF(D21="CAL",(52*E21/4.3333),(IF(D21="ACAD",(32*E21/4.33333),IF(D21="SUMR",(14*E21/4.33333),IF(D21="PT",(0),0)))))</f>
        <v>0</v>
      </c>
      <c r="G21" s="69">
        <v>0</v>
      </c>
      <c r="J21" s="187">
        <f>ROUND(G21*E21,0)</f>
        <v>0</v>
      </c>
      <c r="K21" s="155">
        <f>ROUND(J21*'RATES-Non Fed'!E40,0)</f>
        <v>0</v>
      </c>
      <c r="L21" s="67">
        <f>ROUND(K21+J21,0)</f>
        <v>0</v>
      </c>
      <c r="M21" s="187">
        <f>ROUND((J21*1.02),0)</f>
        <v>0</v>
      </c>
      <c r="N21" s="155">
        <f>ROUND(M21*'RATES-Non Fed'!G40,0)</f>
        <v>0</v>
      </c>
      <c r="O21" s="67">
        <f>ROUND(M21+N21,0)</f>
        <v>0</v>
      </c>
      <c r="P21" s="187">
        <f>ROUND((M21*1.02),0)</f>
        <v>0</v>
      </c>
      <c r="Q21" s="155">
        <f>ROUND(P21*'RATES-Non Fed'!I40,0)</f>
        <v>0</v>
      </c>
      <c r="R21" s="67">
        <f>ROUND(P21+Q21,0)</f>
        <v>0</v>
      </c>
      <c r="S21" s="42">
        <f>SUM(L21+O21+R21)</f>
        <v>0</v>
      </c>
    </row>
    <row r="22" spans="1:19" ht="15.75">
      <c r="A22" s="1"/>
      <c r="B22" s="1" t="s">
        <v>15</v>
      </c>
      <c r="C22" s="3"/>
      <c r="D22" s="140" t="s">
        <v>126</v>
      </c>
      <c r="E22" s="70">
        <v>0</v>
      </c>
      <c r="F22" s="99">
        <f>IF(D22="CAL",(52*E22/4.3333),(IF(D22="ACAD",(32*E22/4.33333),IF(D22="SUMR",(14*E22/4.33333),IF(D22="PT",(0),0)))))</f>
        <v>0</v>
      </c>
      <c r="G22" s="69">
        <v>0</v>
      </c>
      <c r="J22" s="187">
        <f>ROUND(G22*E22,0)</f>
        <v>0</v>
      </c>
      <c r="K22" s="155">
        <f>ROUND(J22*'RATES-Non Fed'!E40,0)</f>
        <v>0</v>
      </c>
      <c r="L22" s="67">
        <f>ROUND(K22+J22,0)</f>
        <v>0</v>
      </c>
      <c r="M22" s="187">
        <f>ROUND((J22*1.02),0)</f>
        <v>0</v>
      </c>
      <c r="N22" s="155">
        <f>ROUND(M22*'RATES-Non Fed'!G40,0)</f>
        <v>0</v>
      </c>
      <c r="O22" s="67">
        <f>ROUND(M22+N22,0)</f>
        <v>0</v>
      </c>
      <c r="P22" s="187">
        <f>ROUND((M22*1.02),0)</f>
        <v>0</v>
      </c>
      <c r="Q22" s="155">
        <f>ROUND(P22*'RATES-Non Fed'!I40,0)</f>
        <v>0</v>
      </c>
      <c r="R22" s="67">
        <f>ROUND(P22+Q22,0)</f>
        <v>0</v>
      </c>
      <c r="S22" s="42">
        <f>SUM(L22+O22+R22)</f>
        <v>0</v>
      </c>
    </row>
    <row r="23" spans="1:19" ht="15.75">
      <c r="A23" s="1"/>
      <c r="B23" s="1" t="s">
        <v>15</v>
      </c>
      <c r="C23" s="3"/>
      <c r="D23" s="140" t="s">
        <v>126</v>
      </c>
      <c r="E23" s="70">
        <v>0</v>
      </c>
      <c r="F23" s="99">
        <f>IF(D23="CAL",(52*E23/4.3333),(IF(D23="ACAD",(32*E23/4.33333),IF(D23="SUMR",(14*E23/4.33333),IF(D23="PT",(0),0)))))</f>
        <v>0</v>
      </c>
      <c r="G23" s="69">
        <v>0</v>
      </c>
      <c r="J23" s="187">
        <f>ROUND(G23*E23,0)</f>
        <v>0</v>
      </c>
      <c r="K23" s="155">
        <f>ROUND(J23*'RATES-Non Fed'!E40,0)</f>
        <v>0</v>
      </c>
      <c r="L23" s="67">
        <f>ROUND(K23+J23,0)</f>
        <v>0</v>
      </c>
      <c r="M23" s="187">
        <f>ROUND((J23*1.02),0)</f>
        <v>0</v>
      </c>
      <c r="N23" s="155">
        <f>ROUND(M23*'RATES-Non Fed'!G40,0)</f>
        <v>0</v>
      </c>
      <c r="O23" s="67">
        <f>ROUND(M23+N23,0)</f>
        <v>0</v>
      </c>
      <c r="P23" s="187">
        <f>ROUND((M23*1.02),0)</f>
        <v>0</v>
      </c>
      <c r="Q23" s="155">
        <f>ROUND(P23*'RATES-Non Fed'!I40,0)</f>
        <v>0</v>
      </c>
      <c r="R23" s="67">
        <f>ROUND(P23+Q23,0)</f>
        <v>0</v>
      </c>
      <c r="S23" s="42">
        <f>SUM(L23+O23+R23)</f>
        <v>0</v>
      </c>
    </row>
    <row r="24" spans="1:19" ht="15.75">
      <c r="A24" s="1"/>
      <c r="B24" s="1" t="s">
        <v>15</v>
      </c>
      <c r="C24" s="3"/>
      <c r="D24" s="140" t="s">
        <v>126</v>
      </c>
      <c r="E24" s="70">
        <v>0</v>
      </c>
      <c r="F24" s="99">
        <f>IF(D24="CAL",(52*E24/4.3333),(IF(D24="ACAD",(32*E24/4.33333),IF(D24="SUMR",(14*E24/4.33333),IF(D24="PT",(0),0)))))</f>
        <v>0</v>
      </c>
      <c r="G24" s="69">
        <v>0</v>
      </c>
      <c r="J24" s="187">
        <f>ROUND(G24*E24,0)</f>
        <v>0</v>
      </c>
      <c r="K24" s="207">
        <f>ROUND(J24*'RATES-Non Fed'!E40,0)</f>
        <v>0</v>
      </c>
      <c r="L24" s="208">
        <f>ROUND(K24+J24,0)</f>
        <v>0</v>
      </c>
      <c r="M24" s="202">
        <f>ROUND((J24*1.02),0)</f>
        <v>0</v>
      </c>
      <c r="N24" s="207">
        <f>ROUND(M24*'RATES-Non Fed'!G40,0)</f>
        <v>0</v>
      </c>
      <c r="O24" s="208">
        <f>ROUND(M24+N24,0)</f>
        <v>0</v>
      </c>
      <c r="P24" s="202">
        <f>ROUND((M24*1.02),0)</f>
        <v>0</v>
      </c>
      <c r="Q24" s="207">
        <f>ROUND(P24*'RATES-Non Fed'!I40,0)</f>
        <v>0</v>
      </c>
      <c r="R24" s="208">
        <f>ROUND(P24+Q24,0)</f>
        <v>0</v>
      </c>
      <c r="S24" s="205">
        <f>SUM(L24+O24+R24)</f>
        <v>0</v>
      </c>
    </row>
    <row r="25" spans="1:19" ht="15.75">
      <c r="A25" s="1"/>
      <c r="B25" s="1"/>
      <c r="C25" s="1"/>
      <c r="D25" s="25" t="s">
        <v>231</v>
      </c>
      <c r="E25" s="26"/>
      <c r="F25" s="26"/>
      <c r="G25" s="1"/>
      <c r="H25" s="1"/>
      <c r="I25" s="1"/>
      <c r="J25" s="191">
        <f aca="true" t="shared" si="9" ref="J25:S25">SUM(J21:J24)</f>
        <v>0</v>
      </c>
      <c r="K25" s="156">
        <f t="shared" si="9"/>
        <v>0</v>
      </c>
      <c r="L25" s="46">
        <f t="shared" si="9"/>
        <v>0</v>
      </c>
      <c r="M25" s="76">
        <f t="shared" si="9"/>
        <v>0</v>
      </c>
      <c r="N25" s="6">
        <f t="shared" si="9"/>
        <v>0</v>
      </c>
      <c r="O25" s="76">
        <f t="shared" si="9"/>
        <v>0</v>
      </c>
      <c r="P25" s="42">
        <f t="shared" si="9"/>
        <v>0</v>
      </c>
      <c r="Q25" s="42">
        <f t="shared" si="9"/>
        <v>0</v>
      </c>
      <c r="R25" s="76">
        <f t="shared" si="9"/>
        <v>0</v>
      </c>
      <c r="S25" s="42">
        <f t="shared" si="9"/>
        <v>0</v>
      </c>
    </row>
    <row r="26" spans="1:20" ht="7.5" customHeight="1">
      <c r="A26" s="1"/>
      <c r="B26" s="1"/>
      <c r="C26" s="1"/>
      <c r="D26" s="26"/>
      <c r="E26" s="26"/>
      <c r="F26" s="26"/>
      <c r="G26" s="1"/>
      <c r="H26" s="1"/>
      <c r="I26" s="1"/>
      <c r="J26" s="192"/>
      <c r="K26" s="156"/>
      <c r="L26" s="46"/>
      <c r="M26" s="186"/>
      <c r="N26" s="156"/>
      <c r="O26" s="46"/>
      <c r="P26" s="186"/>
      <c r="Q26" s="156"/>
      <c r="R26" s="46"/>
      <c r="S26" s="42"/>
      <c r="T26" s="6"/>
    </row>
    <row r="27" spans="1:20" ht="15.75">
      <c r="A27" s="22" t="s">
        <v>228</v>
      </c>
      <c r="B27" s="22" t="s">
        <v>17</v>
      </c>
      <c r="C27" s="1"/>
      <c r="D27" s="26"/>
      <c r="E27" s="1"/>
      <c r="F27" s="1"/>
      <c r="G27" s="41"/>
      <c r="H27" s="1"/>
      <c r="I27" s="1"/>
      <c r="J27" s="190"/>
      <c r="K27" s="152"/>
      <c r="L27" s="142"/>
      <c r="M27" s="190"/>
      <c r="N27" s="156"/>
      <c r="O27" s="46"/>
      <c r="P27" s="190"/>
      <c r="Q27" s="156"/>
      <c r="R27" s="46"/>
      <c r="S27" s="42"/>
      <c r="T27" s="6"/>
    </row>
    <row r="28" spans="1:20" ht="15.75">
      <c r="A28" s="1"/>
      <c r="C28" s="13" t="s">
        <v>86</v>
      </c>
      <c r="D28" s="41" t="s">
        <v>123</v>
      </c>
      <c r="E28" s="68"/>
      <c r="F28" s="68"/>
      <c r="G28" s="59"/>
      <c r="J28" s="187"/>
      <c r="K28" s="157"/>
      <c r="L28" s="50"/>
      <c r="M28" s="187"/>
      <c r="N28" s="167"/>
      <c r="O28" s="147"/>
      <c r="P28" s="187"/>
      <c r="Q28" s="167"/>
      <c r="R28" s="147"/>
      <c r="S28" s="42"/>
      <c r="T28" s="5"/>
    </row>
    <row r="29" spans="1:20" ht="15.75">
      <c r="A29" s="1"/>
      <c r="C29" s="13"/>
      <c r="D29" s="97"/>
      <c r="E29" s="70">
        <v>0</v>
      </c>
      <c r="F29" s="98">
        <f>SUM(52*E29/4.33)</f>
        <v>0</v>
      </c>
      <c r="G29" s="69">
        <v>0</v>
      </c>
      <c r="J29" s="187">
        <f>ROUND(G29*E29,0)</f>
        <v>0</v>
      </c>
      <c r="K29" s="157">
        <f>ROUND(J29*'RATES-Non Fed'!E39,0)</f>
        <v>0</v>
      </c>
      <c r="L29" s="50">
        <f>SUM(J29:K29)</f>
        <v>0</v>
      </c>
      <c r="M29" s="187">
        <f>ROUND(J29*1.02,0)</f>
        <v>0</v>
      </c>
      <c r="N29" s="157">
        <f>ROUND(M29*'RATES-Non Fed'!G39,0)</f>
        <v>0</v>
      </c>
      <c r="O29" s="50">
        <f>SUM(M29:N29)</f>
        <v>0</v>
      </c>
      <c r="P29" s="187">
        <f>ROUND(M29*1.02,0)</f>
        <v>0</v>
      </c>
      <c r="Q29" s="157">
        <f>ROUND(P29*'RATES-Non Fed'!I39,0)</f>
        <v>0</v>
      </c>
      <c r="R29" s="50">
        <f>SUM(P29:Q29)</f>
        <v>0</v>
      </c>
      <c r="S29" s="42">
        <f>SUM(L29+O29+R29)</f>
        <v>0</v>
      </c>
      <c r="T29" s="5"/>
    </row>
    <row r="30" spans="1:20" ht="15.75">
      <c r="A30" s="1"/>
      <c r="C30" s="13"/>
      <c r="D30" s="1"/>
      <c r="E30" s="70">
        <v>0</v>
      </c>
      <c r="F30" s="98">
        <f>SUM(52*E30/4.33)</f>
        <v>0</v>
      </c>
      <c r="G30" s="69">
        <v>0</v>
      </c>
      <c r="J30" s="187">
        <f>ROUND(G30*E30,0)</f>
        <v>0</v>
      </c>
      <c r="K30" s="157">
        <f>ROUND(J30*'RATES-Non Fed'!E39,0)</f>
        <v>0</v>
      </c>
      <c r="L30" s="50">
        <f>SUM(J30:K30)</f>
        <v>0</v>
      </c>
      <c r="M30" s="187">
        <f>ROUND(J30*1.02,0)</f>
        <v>0</v>
      </c>
      <c r="N30" s="157">
        <f>ROUND(M30*'RATES-Non Fed'!G39,0)</f>
        <v>0</v>
      </c>
      <c r="O30" s="50">
        <f>SUM(M30:N30)</f>
        <v>0</v>
      </c>
      <c r="P30" s="187">
        <f>ROUND(M30*1.02,0)</f>
        <v>0</v>
      </c>
      <c r="Q30" s="157">
        <f>ROUND(P30*'RATES-Non Fed'!I39,0)</f>
        <v>0</v>
      </c>
      <c r="R30" s="50">
        <f>SUM(P30:Q30)</f>
        <v>0</v>
      </c>
      <c r="S30" s="42">
        <f>SUM(L30+O30+R30)</f>
        <v>0</v>
      </c>
      <c r="T30" s="5"/>
    </row>
    <row r="31" spans="1:20" ht="15.75">
      <c r="A31" s="1"/>
      <c r="C31" s="13"/>
      <c r="D31" s="1"/>
      <c r="E31" s="70">
        <v>0</v>
      </c>
      <c r="F31" s="98">
        <f>SUM(52*E31/4.33)</f>
        <v>0</v>
      </c>
      <c r="G31" s="69">
        <v>0</v>
      </c>
      <c r="J31" s="202">
        <f>ROUND(G31*E31,0)</f>
        <v>0</v>
      </c>
      <c r="K31" s="203">
        <f>ROUND(J31*'RATES-Non Fed'!E39,0)</f>
        <v>0</v>
      </c>
      <c r="L31" s="204">
        <f>SUM(J31:K31)</f>
        <v>0</v>
      </c>
      <c r="M31" s="202">
        <f>ROUND(J31*1.02,0)</f>
        <v>0</v>
      </c>
      <c r="N31" s="203">
        <f>ROUND(M31*'RATES-Non Fed'!G39,0)</f>
        <v>0</v>
      </c>
      <c r="O31" s="204">
        <f>SUM(M31:N31)</f>
        <v>0</v>
      </c>
      <c r="P31" s="202">
        <f>ROUND(M31*1.02,0)</f>
        <v>0</v>
      </c>
      <c r="Q31" s="203">
        <f>ROUND(P31*'RATES-Non Fed'!I39,0)</f>
        <v>0</v>
      </c>
      <c r="R31" s="204">
        <f>SUM(P31:Q31)</f>
        <v>0</v>
      </c>
      <c r="S31" s="205">
        <f>SUM(L31+O31+R31)</f>
        <v>0</v>
      </c>
      <c r="T31" s="5"/>
    </row>
    <row r="32" spans="1:20" ht="15.75">
      <c r="A32" s="1"/>
      <c r="C32" s="13"/>
      <c r="D32" s="1" t="s">
        <v>124</v>
      </c>
      <c r="E32" s="70"/>
      <c r="F32" s="70"/>
      <c r="G32" s="69"/>
      <c r="J32" s="193">
        <f aca="true" t="shared" si="10" ref="J32:S32">SUM(J29:J31)</f>
        <v>0</v>
      </c>
      <c r="K32" s="157">
        <f t="shared" si="10"/>
        <v>0</v>
      </c>
      <c r="L32" s="50">
        <f t="shared" si="10"/>
        <v>0</v>
      </c>
      <c r="M32" s="193">
        <f t="shared" si="10"/>
        <v>0</v>
      </c>
      <c r="N32" s="167">
        <f t="shared" si="10"/>
        <v>0</v>
      </c>
      <c r="O32" s="147">
        <f t="shared" si="10"/>
        <v>0</v>
      </c>
      <c r="P32" s="193">
        <f t="shared" si="10"/>
        <v>0</v>
      </c>
      <c r="Q32" s="167">
        <f t="shared" si="10"/>
        <v>0</v>
      </c>
      <c r="R32" s="147">
        <f t="shared" si="10"/>
        <v>0</v>
      </c>
      <c r="S32" s="42">
        <f t="shared" si="10"/>
        <v>0</v>
      </c>
      <c r="T32" s="5"/>
    </row>
    <row r="33" spans="1:20" ht="9.75" customHeight="1">
      <c r="A33" s="1"/>
      <c r="C33" s="13"/>
      <c r="D33" s="1"/>
      <c r="E33" s="70"/>
      <c r="F33" s="70"/>
      <c r="G33" s="69"/>
      <c r="J33" s="193"/>
      <c r="K33" s="157"/>
      <c r="L33" s="50"/>
      <c r="M33" s="193"/>
      <c r="N33" s="167"/>
      <c r="O33" s="147"/>
      <c r="P33" s="193"/>
      <c r="Q33" s="167"/>
      <c r="R33" s="147"/>
      <c r="S33" s="42"/>
      <c r="T33" s="5"/>
    </row>
    <row r="34" spans="1:20" ht="15.75">
      <c r="A34" s="1"/>
      <c r="C34" s="13" t="s">
        <v>87</v>
      </c>
      <c r="D34" s="1"/>
      <c r="E34" s="70">
        <v>0</v>
      </c>
      <c r="F34" s="98">
        <f>SUM(52*E34/4.33)</f>
        <v>0</v>
      </c>
      <c r="G34" s="69">
        <v>0</v>
      </c>
      <c r="J34" s="187">
        <f>ROUND(G34*E34,0)</f>
        <v>0</v>
      </c>
      <c r="K34" s="157">
        <f>ROUND(J34*'RATES-Non Fed'!E43,0)</f>
        <v>0</v>
      </c>
      <c r="L34" s="50">
        <f>SUM(J34:K34)</f>
        <v>0</v>
      </c>
      <c r="M34" s="187">
        <f>ROUND((J34*1.02),0)</f>
        <v>0</v>
      </c>
      <c r="N34" s="157">
        <f>ROUND(M34*'RATES-Non Fed'!G43,0)</f>
        <v>0</v>
      </c>
      <c r="O34" s="50">
        <f>SUM(M34:N34)</f>
        <v>0</v>
      </c>
      <c r="P34" s="187">
        <f>ROUND((M34*1.02),0)</f>
        <v>0</v>
      </c>
      <c r="Q34" s="157">
        <f>ROUND(P34*'RATES-Non Fed'!I43,0)</f>
        <v>0</v>
      </c>
      <c r="R34" s="50">
        <f>SUM(P34:Q34)</f>
        <v>0</v>
      </c>
      <c r="S34" s="42">
        <f>SUM(L34+O34+R34)</f>
        <v>0</v>
      </c>
      <c r="T34" s="5"/>
    </row>
    <row r="35" spans="1:20" ht="15.75">
      <c r="A35" s="1"/>
      <c r="C35" s="13" t="s">
        <v>18</v>
      </c>
      <c r="D35" s="1"/>
      <c r="E35" s="70">
        <v>0</v>
      </c>
      <c r="F35" s="98">
        <f>SUM(52*E35/4.33)</f>
        <v>0</v>
      </c>
      <c r="G35" s="69">
        <v>0</v>
      </c>
      <c r="J35" s="187">
        <f>ROUND(G35*E35,0)</f>
        <v>0</v>
      </c>
      <c r="K35" s="157">
        <f>ROUND(J35*'RATES-Non Fed'!E42,0)</f>
        <v>0</v>
      </c>
      <c r="L35" s="50">
        <f>SUM(J35:K35)</f>
        <v>0</v>
      </c>
      <c r="M35" s="187">
        <f>ROUND((J35*1.02),0)</f>
        <v>0</v>
      </c>
      <c r="N35" s="157">
        <f>ROUND(M35*'RATES-Non Fed'!G42,0)</f>
        <v>0</v>
      </c>
      <c r="O35" s="50">
        <f>SUM(M35:N35)</f>
        <v>0</v>
      </c>
      <c r="P35" s="187">
        <f>ROUND((M35*1.02),0)</f>
        <v>0</v>
      </c>
      <c r="Q35" s="157">
        <f>ROUND(P35*'RATES-Non Fed'!I42,0)</f>
        <v>0</v>
      </c>
      <c r="R35" s="50">
        <f>SUM(P35:Q35)</f>
        <v>0</v>
      </c>
      <c r="S35" s="42">
        <f>SUM(L35+O35+R35)</f>
        <v>0</v>
      </c>
      <c r="T35" s="5"/>
    </row>
    <row r="36" spans="1:20" ht="15.75">
      <c r="A36" s="1"/>
      <c r="C36" s="13" t="s">
        <v>19</v>
      </c>
      <c r="D36" s="1"/>
      <c r="E36" s="70">
        <v>0</v>
      </c>
      <c r="F36" s="98">
        <f>SUM(52*E36/4.33)</f>
        <v>0</v>
      </c>
      <c r="G36" s="69">
        <v>0</v>
      </c>
      <c r="J36" s="187">
        <f>ROUND(G36*E36,0)</f>
        <v>0</v>
      </c>
      <c r="K36" s="157">
        <f>ROUND(J36*'RATES-Non Fed'!E42,0)</f>
        <v>0</v>
      </c>
      <c r="L36" s="50">
        <f>SUM(J36:K36)</f>
        <v>0</v>
      </c>
      <c r="M36" s="187">
        <f>ROUND((J36*1.02),0)</f>
        <v>0</v>
      </c>
      <c r="N36" s="157">
        <f>ROUND(M36*'RATES-Non Fed'!G42,0)</f>
        <v>0</v>
      </c>
      <c r="O36" s="50">
        <f>SUM(M36:N36)</f>
        <v>0</v>
      </c>
      <c r="P36" s="187">
        <f>ROUND((M36*1.02),0)</f>
        <v>0</v>
      </c>
      <c r="Q36" s="157">
        <f>ROUND(P36*'RATES-Non Fed'!I42,0)</f>
        <v>0</v>
      </c>
      <c r="R36" s="50">
        <f>SUM(P36:Q36)</f>
        <v>0</v>
      </c>
      <c r="S36" s="42">
        <f>SUM(L36+O36+R36)</f>
        <v>0</v>
      </c>
      <c r="T36" s="5"/>
    </row>
    <row r="37" spans="1:20" s="94" customFormat="1" ht="15.75">
      <c r="A37" s="142"/>
      <c r="C37" s="141" t="s">
        <v>20</v>
      </c>
      <c r="D37" s="142"/>
      <c r="E37" s="70">
        <v>0</v>
      </c>
      <c r="F37" s="98">
        <f>SUM(52*E37/4.33)</f>
        <v>0</v>
      </c>
      <c r="G37" s="69">
        <v>0</v>
      </c>
      <c r="J37" s="187">
        <f>ROUND(G37*E37,0)</f>
        <v>0</v>
      </c>
      <c r="K37" s="157">
        <f>ROUND(J37*'RATES-Non Fed'!E43,0)</f>
        <v>0</v>
      </c>
      <c r="L37" s="50">
        <f>SUM(J37:K37)</f>
        <v>0</v>
      </c>
      <c r="M37" s="187">
        <f>ROUND((J37*1.02),0)</f>
        <v>0</v>
      </c>
      <c r="N37" s="157">
        <f>ROUND(M37*'RATES-Non Fed'!G43,0)</f>
        <v>0</v>
      </c>
      <c r="O37" s="50">
        <f>SUM(M37:N37)</f>
        <v>0</v>
      </c>
      <c r="P37" s="187">
        <f>ROUND((M37*1.02),0)</f>
        <v>0</v>
      </c>
      <c r="Q37" s="157">
        <f>ROUND(P37*'RATES-Non Fed'!I43,0)</f>
        <v>0</v>
      </c>
      <c r="R37" s="50">
        <f>SUM(P37:Q37)</f>
        <v>0</v>
      </c>
      <c r="S37" s="42">
        <f>SUM(L37+O37+R37)</f>
        <v>0</v>
      </c>
      <c r="T37" s="149"/>
    </row>
    <row r="38" spans="1:20" s="94" customFormat="1" ht="15.75">
      <c r="A38" s="142"/>
      <c r="C38" s="141" t="s">
        <v>88</v>
      </c>
      <c r="D38" s="142"/>
      <c r="E38" s="70">
        <v>0</v>
      </c>
      <c r="F38" s="98">
        <f>SUM(52*E38/4.33)</f>
        <v>0</v>
      </c>
      <c r="G38" s="69">
        <v>0</v>
      </c>
      <c r="J38" s="202">
        <f>ROUND(G38*E38,0)</f>
        <v>0</v>
      </c>
      <c r="K38" s="203">
        <f>ROUND(J38*'RATES-Non Fed'!E41,0)</f>
        <v>0</v>
      </c>
      <c r="L38" s="204">
        <f>SUM(J38:K38)</f>
        <v>0</v>
      </c>
      <c r="M38" s="202">
        <f>ROUND((J38*1.02),0)</f>
        <v>0</v>
      </c>
      <c r="N38" s="210">
        <f>ROUND(M38*'RATES-Non Fed'!G41,0)</f>
        <v>0</v>
      </c>
      <c r="O38" s="204">
        <f>SUM(M38:N38)</f>
        <v>0</v>
      </c>
      <c r="P38" s="202">
        <f>ROUND((M38*1.02),0)</f>
        <v>0</v>
      </c>
      <c r="Q38" s="210">
        <f>ROUND(P38*'RATES-Non Fed'!I41,0)</f>
        <v>0</v>
      </c>
      <c r="R38" s="204">
        <f>SUM(P38:Q38)</f>
        <v>0</v>
      </c>
      <c r="S38" s="205">
        <f>SUM(L38+O38+R38)</f>
        <v>0</v>
      </c>
      <c r="T38" s="149"/>
    </row>
    <row r="39" spans="1:20" ht="15.75">
      <c r="A39" s="1"/>
      <c r="B39" s="1"/>
      <c r="C39" s="1"/>
      <c r="D39" s="188" t="s">
        <v>176</v>
      </c>
      <c r="E39" s="26"/>
      <c r="F39" s="26"/>
      <c r="G39" s="1"/>
      <c r="H39" s="1"/>
      <c r="I39" s="1"/>
      <c r="J39" s="209">
        <f aca="true" t="shared" si="11" ref="J39:R39">SUM(J19+J25+J32+J34+J35+J36+J37+J38)</f>
        <v>0</v>
      </c>
      <c r="K39" s="157">
        <f t="shared" si="11"/>
        <v>0</v>
      </c>
      <c r="L39" s="50">
        <f t="shared" si="11"/>
        <v>0</v>
      </c>
      <c r="M39" s="209">
        <f t="shared" si="11"/>
        <v>0</v>
      </c>
      <c r="N39" s="157">
        <f t="shared" si="11"/>
        <v>0</v>
      </c>
      <c r="O39" s="50">
        <f t="shared" si="11"/>
        <v>0</v>
      </c>
      <c r="P39" s="209">
        <f t="shared" si="11"/>
        <v>0</v>
      </c>
      <c r="Q39" s="157">
        <f t="shared" si="11"/>
        <v>0</v>
      </c>
      <c r="R39" s="50">
        <f t="shared" si="11"/>
        <v>0</v>
      </c>
      <c r="S39" s="42">
        <f>SUM(S34:S38)</f>
        <v>0</v>
      </c>
      <c r="T39" s="5"/>
    </row>
    <row r="40" spans="1:20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6"/>
      <c r="L40" s="176"/>
      <c r="M40" s="64"/>
      <c r="P40" s="64"/>
      <c r="Q40" s="156"/>
      <c r="R40" s="46"/>
      <c r="S40" s="64" t="s">
        <v>1</v>
      </c>
      <c r="T40" s="6"/>
    </row>
    <row r="41" spans="1:20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8"/>
      <c r="L41" s="178"/>
      <c r="M41" s="47">
        <f>SUM(M39+N39)</f>
        <v>0</v>
      </c>
      <c r="N41" s="158"/>
      <c r="O41" s="143"/>
      <c r="P41" s="47">
        <f>SUM(P39+Q39)</f>
        <v>0</v>
      </c>
      <c r="Q41" s="158"/>
      <c r="R41" s="143"/>
      <c r="S41" s="47">
        <f>SUM(J41+M41+P41)</f>
        <v>0</v>
      </c>
      <c r="T41" s="29"/>
    </row>
    <row r="42" spans="1:20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6"/>
      <c r="L42" s="176"/>
      <c r="M42" s="46"/>
      <c r="N42" s="156"/>
      <c r="O42" s="46"/>
      <c r="P42" s="46"/>
      <c r="Q42" s="156"/>
      <c r="R42" s="46"/>
      <c r="S42" s="46" t="s">
        <v>1</v>
      </c>
      <c r="T42" s="6"/>
    </row>
    <row r="43" spans="1:20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6"/>
      <c r="L43" s="176"/>
      <c r="M43" s="50"/>
      <c r="N43" s="156"/>
      <c r="O43" s="46"/>
      <c r="P43" s="50"/>
      <c r="Q43" s="156"/>
      <c r="R43" s="46"/>
      <c r="S43" s="50" t="s">
        <v>1</v>
      </c>
      <c r="T43" s="6"/>
    </row>
    <row r="44" spans="1:20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6"/>
      <c r="L44" s="176"/>
      <c r="M44" s="42">
        <v>0</v>
      </c>
      <c r="N44" s="157"/>
      <c r="O44" s="50"/>
      <c r="P44" s="42">
        <v>0</v>
      </c>
      <c r="Q44" s="157"/>
      <c r="R44" s="50"/>
      <c r="S44" s="42">
        <f>SUM(J44:R44)</f>
        <v>0</v>
      </c>
      <c r="T44" s="6"/>
    </row>
    <row r="45" spans="1:20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6"/>
      <c r="L45" s="176"/>
      <c r="M45" s="42">
        <v>0</v>
      </c>
      <c r="N45" s="157"/>
      <c r="O45" s="50"/>
      <c r="P45" s="42">
        <v>0</v>
      </c>
      <c r="Q45" s="157"/>
      <c r="R45" s="50"/>
      <c r="S45" s="42">
        <f>SUM(J45:R45)</f>
        <v>0</v>
      </c>
      <c r="T45" s="6"/>
    </row>
    <row r="46" spans="1:20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9"/>
      <c r="L46" s="179"/>
      <c r="M46" s="53">
        <f>SUM(M44:M45)</f>
        <v>0</v>
      </c>
      <c r="N46" s="159"/>
      <c r="O46" s="48"/>
      <c r="P46" s="53">
        <f>SUM(P44:P45)</f>
        <v>0</v>
      </c>
      <c r="Q46" s="159"/>
      <c r="R46" s="48"/>
      <c r="S46" s="53">
        <f>SUM(J46:R46)</f>
        <v>0</v>
      </c>
      <c r="T46" s="29"/>
    </row>
    <row r="47" spans="1:20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6"/>
      <c r="L47" s="176"/>
      <c r="M47" s="46"/>
      <c r="N47" s="156"/>
      <c r="O47" s="46"/>
      <c r="P47" s="46"/>
      <c r="Q47" s="156"/>
      <c r="R47" s="46"/>
      <c r="S47" s="46"/>
      <c r="T47" s="6"/>
    </row>
    <row r="48" spans="1:20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7"/>
      <c r="L48" s="177"/>
      <c r="M48" s="45" t="s">
        <v>1</v>
      </c>
      <c r="N48" s="157"/>
      <c r="O48" s="50"/>
      <c r="P48" s="45" t="s">
        <v>1</v>
      </c>
      <c r="Q48" s="157"/>
      <c r="R48" s="50"/>
      <c r="S48" s="45"/>
      <c r="T48" s="5"/>
    </row>
    <row r="49" spans="1:20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7"/>
      <c r="L49" s="177"/>
      <c r="M49" s="42">
        <f>ROUND((J49*1.02),0)</f>
        <v>0</v>
      </c>
      <c r="N49" s="167"/>
      <c r="O49" s="147"/>
      <c r="P49" s="42">
        <f>ROUND((M49*1.02),0)</f>
        <v>0</v>
      </c>
      <c r="Q49" s="167"/>
      <c r="R49" s="147"/>
      <c r="S49" s="42">
        <f>SUM(J49:R49)</f>
        <v>0</v>
      </c>
      <c r="T49" s="5"/>
    </row>
    <row r="50" spans="1:20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7"/>
      <c r="L50" s="177"/>
      <c r="M50" s="42">
        <f>ROUND((J50*1.02),0)</f>
        <v>0</v>
      </c>
      <c r="N50" s="167"/>
      <c r="O50" s="147"/>
      <c r="P50" s="42">
        <f>ROUND((M50*1.02),0)</f>
        <v>0</v>
      </c>
      <c r="Q50" s="167"/>
      <c r="R50" s="147"/>
      <c r="S50" s="42">
        <f>SUM(J50:R50)</f>
        <v>0</v>
      </c>
      <c r="T50" s="5"/>
    </row>
    <row r="51" spans="1:20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9"/>
      <c r="L51" s="179"/>
      <c r="M51" s="55">
        <f>SUM(M49:M50)</f>
        <v>0</v>
      </c>
      <c r="N51" s="159"/>
      <c r="O51" s="48"/>
      <c r="P51" s="55">
        <f>SUM(P49:P50)</f>
        <v>0</v>
      </c>
      <c r="Q51" s="159"/>
      <c r="R51" s="48"/>
      <c r="S51" s="55">
        <f>SUM(J51:R51)</f>
        <v>0</v>
      </c>
      <c r="T51" s="29"/>
    </row>
    <row r="52" spans="1:20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6"/>
      <c r="L52" s="176"/>
      <c r="M52" s="42"/>
      <c r="N52" s="156"/>
      <c r="O52" s="46"/>
      <c r="P52" s="42"/>
      <c r="Q52" s="156"/>
      <c r="R52" s="46"/>
      <c r="S52" s="42"/>
      <c r="T52" s="6"/>
    </row>
    <row r="53" spans="1:20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7"/>
      <c r="L53" s="177"/>
      <c r="M53" s="42" t="s">
        <v>1</v>
      </c>
      <c r="N53" s="157"/>
      <c r="O53" s="50"/>
      <c r="P53" s="42" t="s">
        <v>1</v>
      </c>
      <c r="Q53" s="157"/>
      <c r="R53" s="50"/>
      <c r="S53" s="42"/>
      <c r="T53" s="5"/>
    </row>
    <row r="54" spans="1:20" ht="15.75">
      <c r="A54" s="21"/>
      <c r="B54" s="21"/>
      <c r="C54" s="13" t="s">
        <v>35</v>
      </c>
      <c r="D54" s="3"/>
      <c r="E54" s="31"/>
      <c r="F54" s="31"/>
      <c r="J54" s="42">
        <v>0</v>
      </c>
      <c r="K54" s="157"/>
      <c r="L54" s="177"/>
      <c r="M54" s="42">
        <f>ROUND((J54*1.02),0)</f>
        <v>0</v>
      </c>
      <c r="N54" s="167"/>
      <c r="O54" s="147"/>
      <c r="P54" s="42">
        <f>ROUND((M54*1.02),0)</f>
        <v>0</v>
      </c>
      <c r="Q54" s="167"/>
      <c r="R54" s="147"/>
      <c r="S54" s="42">
        <f aca="true" t="shared" si="12" ref="S54:S65">SUM(J54:R54)</f>
        <v>0</v>
      </c>
      <c r="T54" s="5"/>
    </row>
    <row r="55" spans="1:20" ht="15.75">
      <c r="A55" s="21"/>
      <c r="B55" s="21"/>
      <c r="C55" s="13" t="s">
        <v>36</v>
      </c>
      <c r="D55" s="3"/>
      <c r="E55" s="31"/>
      <c r="F55" s="31"/>
      <c r="J55" s="42">
        <v>0</v>
      </c>
      <c r="K55" s="157"/>
      <c r="L55" s="177"/>
      <c r="M55" s="42">
        <f aca="true" t="shared" si="13" ref="M55:M60">ROUND((J55*1.02),0)</f>
        <v>0</v>
      </c>
      <c r="N55" s="167"/>
      <c r="O55" s="147"/>
      <c r="P55" s="42">
        <f aca="true" t="shared" si="14" ref="P55:P60">ROUND((M55*1.02),0)</f>
        <v>0</v>
      </c>
      <c r="Q55" s="167"/>
      <c r="R55" s="147"/>
      <c r="S55" s="42">
        <f t="shared" si="12"/>
        <v>0</v>
      </c>
      <c r="T55" s="5"/>
    </row>
    <row r="56" spans="1:20" ht="15.75">
      <c r="A56" s="21"/>
      <c r="B56" s="21"/>
      <c r="C56" s="13" t="s">
        <v>37</v>
      </c>
      <c r="D56" s="3"/>
      <c r="E56" s="31"/>
      <c r="F56" s="31"/>
      <c r="J56" s="42">
        <v>0</v>
      </c>
      <c r="K56" s="157"/>
      <c r="L56" s="177"/>
      <c r="M56" s="42">
        <f t="shared" si="13"/>
        <v>0</v>
      </c>
      <c r="N56" s="167"/>
      <c r="O56" s="147"/>
      <c r="P56" s="42">
        <f t="shared" si="14"/>
        <v>0</v>
      </c>
      <c r="Q56" s="168"/>
      <c r="R56" s="42"/>
      <c r="S56" s="42">
        <f t="shared" si="12"/>
        <v>0</v>
      </c>
      <c r="T56" s="5"/>
    </row>
    <row r="57" spans="1:20" ht="15.75">
      <c r="A57" s="21"/>
      <c r="B57" s="21"/>
      <c r="C57" s="13" t="s">
        <v>38</v>
      </c>
      <c r="D57" s="3"/>
      <c r="E57" s="31"/>
      <c r="F57" s="31"/>
      <c r="J57" s="42">
        <v>0</v>
      </c>
      <c r="K57" s="157"/>
      <c r="L57" s="177"/>
      <c r="M57" s="42">
        <f t="shared" si="13"/>
        <v>0</v>
      </c>
      <c r="N57" s="167"/>
      <c r="O57" s="147"/>
      <c r="P57" s="42">
        <f t="shared" si="14"/>
        <v>0</v>
      </c>
      <c r="Q57" s="167"/>
      <c r="R57" s="147"/>
      <c r="S57" s="42">
        <f t="shared" si="12"/>
        <v>0</v>
      </c>
      <c r="T57" s="5"/>
    </row>
    <row r="58" spans="1:20" ht="15.75">
      <c r="A58" s="21"/>
      <c r="B58" s="21"/>
      <c r="C58" s="236" t="s">
        <v>100</v>
      </c>
      <c r="D58" s="3"/>
      <c r="E58" s="31"/>
      <c r="F58" s="31"/>
      <c r="J58" s="42">
        <v>0</v>
      </c>
      <c r="K58" s="157"/>
      <c r="L58" s="177"/>
      <c r="M58" s="42">
        <f t="shared" si="13"/>
        <v>0</v>
      </c>
      <c r="N58" s="167"/>
      <c r="O58" s="147"/>
      <c r="P58" s="42">
        <f t="shared" si="14"/>
        <v>0</v>
      </c>
      <c r="Q58" s="167"/>
      <c r="R58" s="147"/>
      <c r="S58" s="42">
        <f t="shared" si="12"/>
        <v>0</v>
      </c>
      <c r="T58" s="5"/>
    </row>
    <row r="59" spans="1:20" ht="15.75">
      <c r="A59" s="21"/>
      <c r="B59" s="21"/>
      <c r="C59" s="13" t="s">
        <v>90</v>
      </c>
      <c r="D59" s="3"/>
      <c r="E59" s="31"/>
      <c r="F59" s="31"/>
      <c r="J59" s="42">
        <v>0</v>
      </c>
      <c r="K59" s="157"/>
      <c r="L59" s="177"/>
      <c r="M59" s="42">
        <f t="shared" si="13"/>
        <v>0</v>
      </c>
      <c r="N59" s="168"/>
      <c r="O59" s="42"/>
      <c r="P59" s="42">
        <f t="shared" si="14"/>
        <v>0</v>
      </c>
      <c r="Q59" s="168"/>
      <c r="R59" s="42"/>
      <c r="S59" s="42">
        <f t="shared" si="12"/>
        <v>0</v>
      </c>
      <c r="T59" s="5"/>
    </row>
    <row r="60" spans="1:20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7"/>
      <c r="L60" s="177"/>
      <c r="M60" s="42">
        <f t="shared" si="13"/>
        <v>0</v>
      </c>
      <c r="N60" s="168"/>
      <c r="O60" s="42"/>
      <c r="P60" s="42">
        <f t="shared" si="14"/>
        <v>0</v>
      </c>
      <c r="Q60" s="168"/>
      <c r="R60" s="42"/>
      <c r="S60" s="42">
        <f t="shared" si="12"/>
        <v>0</v>
      </c>
      <c r="T60" s="5"/>
    </row>
    <row r="61" spans="1:21" ht="15.75">
      <c r="A61" s="21"/>
      <c r="B61" s="21"/>
      <c r="C61" s="22" t="s">
        <v>40</v>
      </c>
      <c r="D61" s="10"/>
      <c r="E61" s="31"/>
      <c r="F61" s="31"/>
      <c r="J61" s="42">
        <v>0</v>
      </c>
      <c r="K61" s="157"/>
      <c r="L61" s="177"/>
      <c r="M61" s="42">
        <v>0</v>
      </c>
      <c r="N61" s="167"/>
      <c r="O61" s="147"/>
      <c r="P61" s="42">
        <v>0</v>
      </c>
      <c r="Q61" s="167"/>
      <c r="R61" s="147"/>
      <c r="S61" s="42">
        <f t="shared" si="12"/>
        <v>0</v>
      </c>
      <c r="T61" s="5"/>
      <c r="U61" s="76"/>
    </row>
    <row r="62" spans="1:21" ht="15.75">
      <c r="A62" s="21"/>
      <c r="B62" s="21"/>
      <c r="C62" s="63" t="s">
        <v>41</v>
      </c>
      <c r="D62" s="10"/>
      <c r="E62" s="31"/>
      <c r="F62" s="31"/>
      <c r="J62" s="42">
        <v>0</v>
      </c>
      <c r="K62" s="157"/>
      <c r="L62" s="177"/>
      <c r="M62" s="42">
        <v>0</v>
      </c>
      <c r="N62" s="167"/>
      <c r="O62" s="147"/>
      <c r="P62" s="42">
        <v>0</v>
      </c>
      <c r="Q62" s="167"/>
      <c r="R62" s="147"/>
      <c r="S62" s="42">
        <f t="shared" si="12"/>
        <v>0</v>
      </c>
      <c r="T62" s="5"/>
      <c r="U62" s="76"/>
    </row>
    <row r="63" spans="1:21" ht="15.75">
      <c r="A63" s="21"/>
      <c r="B63" s="21"/>
      <c r="C63" s="63" t="s">
        <v>92</v>
      </c>
      <c r="D63" s="10"/>
      <c r="E63" s="31"/>
      <c r="F63" s="31"/>
      <c r="J63" s="42">
        <v>0</v>
      </c>
      <c r="K63" s="157"/>
      <c r="L63" s="177"/>
      <c r="M63" s="42">
        <v>0</v>
      </c>
      <c r="N63" s="167"/>
      <c r="O63" s="147"/>
      <c r="P63" s="42">
        <v>0</v>
      </c>
      <c r="Q63" s="167"/>
      <c r="R63" s="147"/>
      <c r="S63" s="42">
        <f t="shared" si="12"/>
        <v>0</v>
      </c>
      <c r="T63" s="5"/>
      <c r="U63" s="76"/>
    </row>
    <row r="64" spans="1:21" ht="15.75">
      <c r="A64" s="21"/>
      <c r="B64" s="21"/>
      <c r="C64" s="63" t="s">
        <v>93</v>
      </c>
      <c r="D64" s="10"/>
      <c r="E64" s="31"/>
      <c r="F64" s="31"/>
      <c r="J64" s="42">
        <v>0</v>
      </c>
      <c r="K64" s="157"/>
      <c r="L64" s="177"/>
      <c r="M64" s="42">
        <v>0</v>
      </c>
      <c r="N64" s="167"/>
      <c r="O64" s="147"/>
      <c r="P64" s="42">
        <v>0</v>
      </c>
      <c r="Q64" s="167"/>
      <c r="R64" s="147"/>
      <c r="S64" s="42">
        <f t="shared" si="12"/>
        <v>0</v>
      </c>
      <c r="T64" s="5"/>
      <c r="U64" s="76"/>
    </row>
    <row r="65" spans="1:21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60"/>
      <c r="L65" s="180"/>
      <c r="M65" s="43">
        <f>SUM(M54:M64)</f>
        <v>0</v>
      </c>
      <c r="N65" s="160"/>
      <c r="O65" s="44"/>
      <c r="P65" s="43">
        <f>SUM(P54:P64)</f>
        <v>0</v>
      </c>
      <c r="Q65" s="160"/>
      <c r="R65" s="44"/>
      <c r="S65" s="43">
        <f t="shared" si="12"/>
        <v>0</v>
      </c>
      <c r="T65" s="34"/>
      <c r="U65" s="76"/>
    </row>
    <row r="66" spans="1:20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6"/>
      <c r="L66" s="176"/>
      <c r="M66" s="46"/>
      <c r="N66" s="156"/>
      <c r="O66" s="46"/>
      <c r="P66" s="46"/>
      <c r="Q66" s="156"/>
      <c r="R66" s="46"/>
      <c r="S66" s="46" t="s">
        <v>1</v>
      </c>
      <c r="T66" s="6"/>
    </row>
    <row r="67" spans="1:20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1"/>
      <c r="L67" s="181"/>
      <c r="M67" s="65">
        <f>ROUND(+M65+M51+M46+M41,0)</f>
        <v>0</v>
      </c>
      <c r="N67" s="161"/>
      <c r="O67" s="65"/>
      <c r="P67" s="65">
        <f>ROUND(+P65+P51+P46+P41,0)</f>
        <v>0</v>
      </c>
      <c r="Q67" s="161"/>
      <c r="R67" s="65"/>
      <c r="S67" s="65">
        <f>SUM(J67:R67)</f>
        <v>0</v>
      </c>
      <c r="T67" s="34"/>
    </row>
    <row r="68" spans="1:19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1"/>
      <c r="L68" s="181"/>
      <c r="M68" s="65"/>
      <c r="N68" s="169"/>
      <c r="O68" s="196"/>
      <c r="P68" s="65"/>
      <c r="Q68" s="169"/>
      <c r="R68" s="196"/>
      <c r="S68" s="65"/>
    </row>
    <row r="69" spans="1:21" ht="15.75">
      <c r="A69" s="28"/>
      <c r="B69" s="28"/>
      <c r="C69" s="28"/>
      <c r="D69" s="21"/>
      <c r="G69" s="39"/>
      <c r="H69" s="96" t="s">
        <v>119</v>
      </c>
      <c r="I69" s="39"/>
      <c r="J69" s="74">
        <f>SUM(J67)</f>
        <v>0</v>
      </c>
      <c r="K69" s="162"/>
      <c r="L69" s="182"/>
      <c r="M69" s="74">
        <f>SUM(M67)</f>
        <v>0</v>
      </c>
      <c r="N69" s="162"/>
      <c r="O69" s="197"/>
      <c r="P69" s="74">
        <f>SUM(P67)</f>
        <v>0</v>
      </c>
      <c r="Q69" s="162"/>
      <c r="R69" s="197"/>
      <c r="S69" s="74">
        <f>SUM(J69:R69)</f>
        <v>0</v>
      </c>
      <c r="U69" s="76"/>
    </row>
    <row r="70" spans="1:22" ht="15.75">
      <c r="A70" s="33" t="s">
        <v>118</v>
      </c>
      <c r="B70" s="1"/>
      <c r="C70" s="1"/>
      <c r="J70" s="42"/>
      <c r="K70" s="163"/>
      <c r="L70" s="183"/>
      <c r="M70" s="50"/>
      <c r="N70" s="163"/>
      <c r="O70" s="56"/>
      <c r="P70" s="50"/>
      <c r="Q70" s="163"/>
      <c r="R70" s="56"/>
      <c r="S70" s="50"/>
      <c r="T70" s="5"/>
      <c r="V70" s="75"/>
    </row>
    <row r="71" spans="1:20" ht="15.75">
      <c r="A71" s="13" t="s">
        <v>121</v>
      </c>
      <c r="B71" s="1"/>
      <c r="D71" s="7">
        <f>IF(AND(($E$78)="R",($E$80)="C"),('RATES-Non Fed'!E46),IF(AND(($E$78)="R",($E$80)="O"),('RATES-Non Fed'!E51),IF(AND(($E$78)="I",($E$80)="C"),('RATES-Non Fed'!E47),IF(AND(($E$78)="I",($E$80)="O"),('RATES-Non Fed'!E52),IF(AND(($E$78)="P",($E$80)="C"),('RATES-Non Fed'!E48),IF(AND(($E$78)="P",($E$80)="O"),('RATES-Non Fed'!E53),($E$79)))))))</f>
        <v>0.605</v>
      </c>
      <c r="E71" s="7">
        <f>IF(AND(($E$78)="R",($E$80)="C"),('RATES-Non Fed'!G46),IF(AND(($E$78)="R",($E$80)="O"),('RATES-Non Fed'!G51),IF(AND(($E$78)="I",($E$80)="C"),('RATES-Non Fed'!G47),IF(AND(($E$78)="I",($E$80)="O"),('RATES-Non Fed'!G52),IF(AND(($E$78)="P",($E$80)="C"),('RATES-Non Fed'!G48),IF(AND(($E$78)="P",($E$80)="O"),('RATES-Non Fed'!G53),($E$79)))))))</f>
        <v>0.605</v>
      </c>
      <c r="F71" s="7">
        <f>IF(AND(($E$78)="R",($E$80)="C"),('RATES-Non Fed'!I46),IF(AND(($E$78)="R",($E$80)="O"),('RATES-Non Fed'!I51),IF(AND(($E$78)="I",($E$80)="C"),('RATES-Non Fed'!I47),IF(AND(($E$78)="I",($E$80)="O"),('RATES-Non Fed'!I52),IF(AND(($E$78)="P",($E$80)="C"),('RATES-Non Fed'!I48),IF(AND(($E$78)="P",($E$80)="O"),('RATES-Non Fed'!I53),($E$79)))))))</f>
        <v>0.605</v>
      </c>
      <c r="G71" s="7"/>
      <c r="H71" s="7"/>
      <c r="J71" s="50">
        <f>SUM(J69*D71)</f>
        <v>0</v>
      </c>
      <c r="K71" s="157"/>
      <c r="L71" s="177"/>
      <c r="M71" s="50">
        <f>SUM(M69*E71)</f>
        <v>0</v>
      </c>
      <c r="N71" s="157"/>
      <c r="O71" s="50"/>
      <c r="P71" s="50">
        <f>SUM(P69*F71)</f>
        <v>0</v>
      </c>
      <c r="Q71" s="157"/>
      <c r="R71" s="50"/>
      <c r="S71" s="50">
        <f>SUM(J71:R71)</f>
        <v>0</v>
      </c>
      <c r="T71" s="5"/>
    </row>
    <row r="72" spans="1:20" ht="15.75">
      <c r="A72" s="40" t="s">
        <v>120</v>
      </c>
      <c r="B72" s="1"/>
      <c r="C72" s="24"/>
      <c r="D72" s="35"/>
      <c r="E72" s="7"/>
      <c r="F72" s="7"/>
      <c r="G72" s="7"/>
      <c r="H72" s="7"/>
      <c r="I72" s="7"/>
      <c r="J72" s="53">
        <f>SUM(J71:J71)</f>
        <v>0</v>
      </c>
      <c r="K72" s="160"/>
      <c r="L72" s="180"/>
      <c r="M72" s="53">
        <f>SUM(M71:M71)</f>
        <v>0</v>
      </c>
      <c r="N72" s="160"/>
      <c r="O72" s="44"/>
      <c r="P72" s="53">
        <f>SUM(P71:P71)</f>
        <v>0</v>
      </c>
      <c r="Q72" s="160"/>
      <c r="R72" s="44"/>
      <c r="S72" s="53">
        <f>SUM(J72:R72)</f>
        <v>0</v>
      </c>
      <c r="T72" s="5"/>
    </row>
    <row r="73" spans="1:20" ht="6.75" customHeight="1">
      <c r="A73" s="40"/>
      <c r="B73" s="1"/>
      <c r="C73" s="24"/>
      <c r="D73" s="35"/>
      <c r="E73" s="7"/>
      <c r="F73" s="7"/>
      <c r="G73" s="7"/>
      <c r="H73" s="7"/>
      <c r="I73" s="7"/>
      <c r="J73" s="61"/>
      <c r="K73" s="160"/>
      <c r="L73" s="180"/>
      <c r="M73" s="62"/>
      <c r="N73" s="160"/>
      <c r="O73" s="44"/>
      <c r="P73" s="62"/>
      <c r="Q73" s="160"/>
      <c r="R73" s="44"/>
      <c r="S73" s="62"/>
      <c r="T73" s="5"/>
    </row>
    <row r="74" spans="1:20" ht="19.5" thickBot="1">
      <c r="A74" s="40"/>
      <c r="B74" s="1"/>
      <c r="C74" s="60" t="s">
        <v>44</v>
      </c>
      <c r="D74" s="35"/>
      <c r="E74" s="7"/>
      <c r="F74" s="7"/>
      <c r="G74" s="7"/>
      <c r="H74" s="7"/>
      <c r="I74" s="7"/>
      <c r="J74" s="72">
        <f>J72+J67</f>
        <v>0</v>
      </c>
      <c r="K74" s="161"/>
      <c r="L74" s="181"/>
      <c r="M74" s="72">
        <f>M72+M67</f>
        <v>0</v>
      </c>
      <c r="N74" s="161"/>
      <c r="O74" s="65"/>
      <c r="P74" s="72">
        <f>P72+P67</f>
        <v>0</v>
      </c>
      <c r="Q74" s="161"/>
      <c r="R74" s="65"/>
      <c r="S74" s="72">
        <f>SUM(J74:R74)</f>
        <v>0</v>
      </c>
      <c r="T74" s="5"/>
    </row>
    <row r="75" spans="1:20" ht="8.25" customHeight="1" thickTop="1">
      <c r="A75" s="28"/>
      <c r="B75" s="1"/>
      <c r="C75" s="35"/>
      <c r="D75" s="7"/>
      <c r="E75" s="7"/>
      <c r="F75" s="7"/>
      <c r="G75" s="7"/>
      <c r="H75" s="7"/>
      <c r="I75" s="7"/>
      <c r="J75" s="50"/>
      <c r="K75" s="157"/>
      <c r="L75" s="177"/>
      <c r="M75" s="50"/>
      <c r="N75" s="157"/>
      <c r="O75" s="50"/>
      <c r="P75" s="50"/>
      <c r="Q75" s="157"/>
      <c r="R75" s="50"/>
      <c r="S75" s="50" t="s">
        <v>1</v>
      </c>
      <c r="T75" s="5"/>
    </row>
    <row r="76" spans="1:20" ht="9" customHeight="1">
      <c r="A76" s="1"/>
      <c r="B76" s="1"/>
      <c r="C76" s="1"/>
      <c r="D76" s="1"/>
      <c r="E76" s="1"/>
      <c r="F76" s="1"/>
      <c r="G76" s="1"/>
      <c r="H76" s="1"/>
      <c r="I76" s="1"/>
      <c r="J76" s="49"/>
      <c r="K76" s="164"/>
      <c r="L76" s="184"/>
      <c r="M76" s="58"/>
      <c r="N76" s="164"/>
      <c r="O76" s="57"/>
      <c r="P76" s="58"/>
      <c r="Q76" s="164"/>
      <c r="R76" s="57"/>
      <c r="S76" s="58"/>
      <c r="T76" s="1"/>
    </row>
    <row r="77" ht="15.75">
      <c r="C77" s="36" t="s">
        <v>122</v>
      </c>
    </row>
    <row r="78" spans="3:7" ht="15.75">
      <c r="C78" s="14" t="s">
        <v>45</v>
      </c>
      <c r="E78" s="15" t="s">
        <v>46</v>
      </c>
      <c r="G78" s="14" t="s">
        <v>47</v>
      </c>
    </row>
    <row r="79" spans="3:6" ht="15.75">
      <c r="C79" s="14" t="s">
        <v>169</v>
      </c>
      <c r="E79" s="9">
        <v>0.1</v>
      </c>
      <c r="F79" s="9"/>
    </row>
    <row r="80" spans="3:7" ht="15.75">
      <c r="C80" s="14" t="s">
        <v>48</v>
      </c>
      <c r="E80" s="172" t="s">
        <v>49</v>
      </c>
      <c r="G80" s="14" t="s">
        <v>50</v>
      </c>
    </row>
    <row r="82" spans="4:16" ht="15.75">
      <c r="D82" s="223" t="s">
        <v>194</v>
      </c>
      <c r="H82" s="221">
        <f>+'RATES-Non Fed'!E31</f>
        <v>0.605</v>
      </c>
      <c r="J82" s="220">
        <f>J72/12*'RATES-Non Fed'!$C$46</f>
        <v>0</v>
      </c>
      <c r="L82" s="221">
        <f>+'RATES-Non Fed'!G31</f>
        <v>0.605</v>
      </c>
      <c r="M82" s="220">
        <f>M72/12*'RATES-Non Fed'!$C$46</f>
        <v>0</v>
      </c>
      <c r="O82" s="222">
        <f>+'RATES-Non Fed'!I31</f>
        <v>0.605</v>
      </c>
      <c r="P82" s="220">
        <f>P72/12*'RATES-Non Fed'!$C$46</f>
        <v>0</v>
      </c>
    </row>
    <row r="83" spans="4:16" ht="15.75">
      <c r="D83" s="274" t="s">
        <v>195</v>
      </c>
      <c r="E83" s="274"/>
      <c r="F83" s="274"/>
      <c r="G83" s="274"/>
      <c r="H83" s="221">
        <f>+'RATES-Non Fed'!G31</f>
        <v>0.605</v>
      </c>
      <c r="J83" s="220">
        <f>J72/12*'RATES-Non Fed'!$D$46</f>
        <v>0</v>
      </c>
      <c r="L83" s="221">
        <f>+'RATES-Non Fed'!I31</f>
        <v>0.605</v>
      </c>
      <c r="M83" s="220">
        <f>M72/12*'RATES-Non Fed'!$D$46</f>
        <v>0</v>
      </c>
      <c r="O83" s="222">
        <f>+'RATES-Non Fed'!K31</f>
        <v>0.605</v>
      </c>
      <c r="P83" s="220">
        <f>P72/12*'RATES-Non Fed'!$D$46</f>
        <v>0</v>
      </c>
    </row>
    <row r="84" spans="4:19" ht="18.75">
      <c r="D84" s="274"/>
      <c r="E84" s="274"/>
      <c r="F84" s="274"/>
      <c r="G84" s="274"/>
      <c r="J84" s="220">
        <f>SUM(J82:J83)</f>
        <v>0</v>
      </c>
      <c r="M84" s="220">
        <f>SUM(M82:M83)</f>
        <v>0</v>
      </c>
      <c r="P84" s="220">
        <f>SUM(P82:P83)</f>
        <v>0</v>
      </c>
      <c r="Q84" s="285">
        <f>'RATES-Non Fed'!Q67</f>
        <v>0</v>
      </c>
      <c r="R84" s="285"/>
      <c r="S84" s="285"/>
    </row>
  </sheetData>
  <sheetProtection/>
  <mergeCells count="6">
    <mergeCell ref="K4:R5"/>
    <mergeCell ref="J8:L8"/>
    <mergeCell ref="M8:O8"/>
    <mergeCell ref="P8:R8"/>
    <mergeCell ref="Q84:S84"/>
    <mergeCell ref="D83:G84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/>
  <pageMargins left="0.5" right="0.3" top="0.5" bottom="0.5" header="0.5" footer="0.5"/>
  <pageSetup fitToHeight="1" fitToWidth="1" horizontalDpi="300" verticalDpi="300" orientation="landscape" scale="46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84"/>
  <sheetViews>
    <sheetView showGridLines="0" zoomScale="75" zoomScaleNormal="75" workbookViewId="0" topLeftCell="E34">
      <selection activeCell="S71" sqref="S71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5" bestFit="1" customWidth="1"/>
    <col min="12" max="12" width="10.125" style="185" bestFit="1" customWidth="1"/>
    <col min="13" max="13" width="11.25390625" style="0" customWidth="1"/>
    <col min="14" max="14" width="9.25390625" style="165" bestFit="1" customWidth="1"/>
    <col min="15" max="15" width="9.50390625" style="94" bestFit="1" customWidth="1"/>
    <col min="16" max="16" width="11.25390625" style="0" customWidth="1"/>
    <col min="17" max="17" width="9.25390625" style="165" bestFit="1" customWidth="1"/>
    <col min="18" max="18" width="8.75390625" style="94" bestFit="1" customWidth="1"/>
    <col min="19" max="19" width="11.25390625" style="0" customWidth="1"/>
    <col min="20" max="20" width="9.25390625" style="165" bestFit="1" customWidth="1"/>
    <col min="21" max="21" width="8.75390625" style="94" bestFit="1" customWidth="1"/>
    <col min="22" max="22" width="14.625" style="0" customWidth="1"/>
    <col min="23" max="23" width="2.625" style="0" customWidth="1"/>
  </cols>
  <sheetData>
    <row r="1" spans="1:21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1"/>
      <c r="L1" s="173"/>
      <c r="M1" s="37"/>
      <c r="N1" s="166"/>
      <c r="O1" s="195"/>
      <c r="P1" s="37"/>
      <c r="Q1" s="166"/>
      <c r="R1" s="195"/>
      <c r="S1" s="37"/>
      <c r="T1" s="166"/>
      <c r="U1" s="195"/>
    </row>
    <row r="2" spans="1:22" ht="18.75">
      <c r="A2" s="17" t="s">
        <v>177</v>
      </c>
      <c r="B2" s="18"/>
      <c r="C2" s="18"/>
      <c r="D2" s="18"/>
      <c r="E2" s="18"/>
      <c r="F2" s="18"/>
      <c r="G2" s="18"/>
      <c r="H2" s="18"/>
      <c r="I2" s="18"/>
      <c r="J2" s="19"/>
      <c r="K2" s="151"/>
      <c r="L2" s="173"/>
      <c r="M2" s="37"/>
      <c r="N2" s="166"/>
      <c r="O2" s="195"/>
      <c r="P2" s="37"/>
      <c r="Q2" s="166"/>
      <c r="R2" s="195"/>
      <c r="S2" s="37"/>
      <c r="T2" s="166"/>
      <c r="U2" s="195"/>
      <c r="V2" s="37"/>
    </row>
    <row r="3" spans="1:22" ht="9.75" customHeight="1">
      <c r="A3" s="10" t="s">
        <v>1</v>
      </c>
      <c r="B3" s="1"/>
      <c r="J3" s="11" t="s">
        <v>1</v>
      </c>
      <c r="K3" s="152"/>
      <c r="L3" s="174"/>
      <c r="M3" s="8"/>
      <c r="P3" s="8"/>
      <c r="S3" s="8"/>
      <c r="V3" s="8"/>
    </row>
    <row r="4" spans="1:22" ht="15.75">
      <c r="A4" s="22" t="s">
        <v>2</v>
      </c>
      <c r="B4" s="1"/>
      <c r="D4" s="10" t="s">
        <v>69</v>
      </c>
      <c r="G4" s="3"/>
      <c r="J4" s="20" t="s">
        <v>3</v>
      </c>
      <c r="K4" s="275" t="s">
        <v>69</v>
      </c>
      <c r="L4" s="276"/>
      <c r="M4" s="277"/>
      <c r="N4" s="277"/>
      <c r="O4" s="277"/>
      <c r="P4" s="277"/>
      <c r="Q4" s="277"/>
      <c r="R4" s="277"/>
      <c r="S4" s="277"/>
      <c r="T4" s="277"/>
      <c r="U4" s="278"/>
      <c r="V4" s="8"/>
    </row>
    <row r="5" spans="1:22" ht="18.75">
      <c r="A5" s="22" t="s">
        <v>4</v>
      </c>
      <c r="B5" s="1"/>
      <c r="D5" s="10" t="s">
        <v>69</v>
      </c>
      <c r="E5" s="3"/>
      <c r="F5" s="3"/>
      <c r="H5" s="2"/>
      <c r="I5" s="2"/>
      <c r="J5" s="38"/>
      <c r="K5" s="279"/>
      <c r="L5" s="280"/>
      <c r="M5" s="280"/>
      <c r="N5" s="280"/>
      <c r="O5" s="280"/>
      <c r="P5" s="280"/>
      <c r="Q5" s="280"/>
      <c r="R5" s="280"/>
      <c r="S5" s="280"/>
      <c r="T5" s="280"/>
      <c r="U5" s="281"/>
      <c r="V5" s="8"/>
    </row>
    <row r="6" spans="1:22" ht="15.75">
      <c r="A6" s="14"/>
      <c r="B6" s="22" t="s">
        <v>5</v>
      </c>
      <c r="D6" s="73">
        <f>'RATES-Non Fed'!E2</f>
        <v>42917</v>
      </c>
      <c r="E6" s="12" t="s">
        <v>6</v>
      </c>
      <c r="F6" s="12"/>
      <c r="G6" s="73">
        <f>'RATES-Non Fed'!G2</f>
        <v>44742</v>
      </c>
      <c r="H6" s="4"/>
      <c r="I6" s="4"/>
      <c r="J6" s="2"/>
      <c r="K6" s="153"/>
      <c r="L6" s="175"/>
      <c r="M6" s="3"/>
      <c r="N6" s="153"/>
      <c r="O6" s="148"/>
      <c r="P6" s="3"/>
      <c r="Q6" s="153"/>
      <c r="R6" s="148"/>
      <c r="S6" s="3"/>
      <c r="T6" s="153"/>
      <c r="U6" s="148"/>
      <c r="V6" s="8"/>
    </row>
    <row r="7" spans="5:23" ht="7.5" customHeight="1">
      <c r="E7" s="3"/>
      <c r="F7" s="3"/>
      <c r="G7" s="1"/>
      <c r="H7" s="1"/>
      <c r="I7" s="1"/>
      <c r="J7" s="16" t="s">
        <v>1</v>
      </c>
      <c r="K7" s="152"/>
      <c r="L7" s="174"/>
      <c r="M7" s="8"/>
      <c r="N7" s="152"/>
      <c r="O7" s="142"/>
      <c r="P7" s="8"/>
      <c r="Q7" s="152"/>
      <c r="R7" s="142"/>
      <c r="S7" s="8"/>
      <c r="T7" s="152"/>
      <c r="U7" s="142"/>
      <c r="V7" s="8"/>
      <c r="W7" s="1"/>
    </row>
    <row r="8" spans="1:23" ht="15.75">
      <c r="A8" s="21"/>
      <c r="B8" s="21"/>
      <c r="C8" s="21"/>
      <c r="D8" s="21"/>
      <c r="E8" s="21"/>
      <c r="F8" s="21"/>
      <c r="G8" s="21"/>
      <c r="H8" s="21"/>
      <c r="I8" s="21"/>
      <c r="J8" s="264" t="s">
        <v>21</v>
      </c>
      <c r="K8" s="265"/>
      <c r="L8" s="266"/>
      <c r="M8" s="282" t="s">
        <v>52</v>
      </c>
      <c r="N8" s="283"/>
      <c r="O8" s="284"/>
      <c r="P8" s="282" t="s">
        <v>54</v>
      </c>
      <c r="Q8" s="283"/>
      <c r="R8" s="284"/>
      <c r="S8" s="282" t="s">
        <v>56</v>
      </c>
      <c r="T8" s="283"/>
      <c r="U8" s="284"/>
      <c r="V8" s="171" t="s">
        <v>8</v>
      </c>
      <c r="W8" s="21"/>
    </row>
    <row r="9" spans="1:23" s="146" customFormat="1" ht="15.75">
      <c r="A9" s="144" t="s">
        <v>9</v>
      </c>
      <c r="B9" s="144" t="s">
        <v>10</v>
      </c>
      <c r="C9" s="144"/>
      <c r="D9" s="144"/>
      <c r="E9" s="144"/>
      <c r="F9" s="144"/>
      <c r="G9" s="144"/>
      <c r="H9" s="144"/>
      <c r="I9" s="144"/>
      <c r="J9" s="189" t="s">
        <v>173</v>
      </c>
      <c r="K9" s="154" t="s">
        <v>174</v>
      </c>
      <c r="L9" s="144" t="s">
        <v>175</v>
      </c>
      <c r="M9" s="194" t="s">
        <v>173</v>
      </c>
      <c r="N9" s="154" t="s">
        <v>174</v>
      </c>
      <c r="O9" s="144" t="s">
        <v>175</v>
      </c>
      <c r="P9" s="194" t="s">
        <v>173</v>
      </c>
      <c r="Q9" s="154" t="s">
        <v>174</v>
      </c>
      <c r="R9" s="144" t="s">
        <v>175</v>
      </c>
      <c r="S9" s="194" t="s">
        <v>173</v>
      </c>
      <c r="T9" s="154" t="s">
        <v>174</v>
      </c>
      <c r="U9" s="144" t="s">
        <v>175</v>
      </c>
      <c r="V9" s="145"/>
      <c r="W9" s="144"/>
    </row>
    <row r="10" spans="1:23" ht="15.75">
      <c r="A10" s="1"/>
      <c r="B10" s="23" t="s">
        <v>11</v>
      </c>
      <c r="C10" s="24"/>
      <c r="D10" s="24" t="s">
        <v>99</v>
      </c>
      <c r="E10" s="1" t="s">
        <v>12</v>
      </c>
      <c r="F10" s="41" t="s">
        <v>125</v>
      </c>
      <c r="G10" s="41" t="s">
        <v>13</v>
      </c>
      <c r="H10" s="1"/>
      <c r="I10" s="1"/>
      <c r="J10" s="190"/>
      <c r="K10" s="152"/>
      <c r="L10" s="142"/>
      <c r="M10" s="190"/>
      <c r="N10" s="152"/>
      <c r="O10" s="142"/>
      <c r="P10" s="190"/>
      <c r="Q10" s="152"/>
      <c r="R10" s="142"/>
      <c r="S10" s="190"/>
      <c r="T10" s="152"/>
      <c r="U10" s="142"/>
      <c r="V10" s="2">
        <f>IF(SUM(J10:N10)=0,"",SUM(J10:N10))</f>
      </c>
      <c r="W10" s="1"/>
    </row>
    <row r="11" spans="1:23" ht="15.75">
      <c r="A11" s="1"/>
      <c r="B11" s="1" t="s">
        <v>14</v>
      </c>
      <c r="C11" s="10" t="str">
        <f>D5</f>
        <v>name</v>
      </c>
      <c r="D11" s="140" t="s">
        <v>127</v>
      </c>
      <c r="E11" s="70">
        <v>0</v>
      </c>
      <c r="F11" s="99">
        <f aca="true" t="shared" si="0" ref="F11:F18">IF(D11="CAL",(52*E11/4.3333),(IF(D11="ACAD",(32*E11/4.33333),IF(D11="SUMR",(14*E11/4.33333),IF(D11="PT",(0),0)))))</f>
        <v>0</v>
      </c>
      <c r="G11" s="69">
        <v>0</v>
      </c>
      <c r="J11" s="187">
        <f>ROUND(G11*E11,0)</f>
        <v>0</v>
      </c>
      <c r="K11" s="155">
        <f>ROUND(J11*'RATES-Non Fed'!E38,0)</f>
        <v>0</v>
      </c>
      <c r="L11" s="67">
        <f>ROUND(K11+J11,0)</f>
        <v>0</v>
      </c>
      <c r="M11" s="187">
        <f>ROUND((J11*1.02),0)</f>
        <v>0</v>
      </c>
      <c r="N11" s="155">
        <f>ROUND(M11*'RATES-Non Fed'!G38,0)</f>
        <v>0</v>
      </c>
      <c r="O11" s="67">
        <f aca="true" t="shared" si="1" ref="O11:O18">ROUND(M11+N11,0)</f>
        <v>0</v>
      </c>
      <c r="P11" s="187">
        <f>ROUND((M11*1.02),0)</f>
        <v>0</v>
      </c>
      <c r="Q11" s="155">
        <f>ROUND(P11*'RATES-Non Fed'!I38,0)</f>
        <v>0</v>
      </c>
      <c r="R11" s="67">
        <f>SUM(P11:Q11)</f>
        <v>0</v>
      </c>
      <c r="S11" s="187">
        <f>ROUND((P11*1.02),0)</f>
        <v>0</v>
      </c>
      <c r="T11" s="155">
        <f>ROUND(S11*'RATES-Non Fed'!K38,0)</f>
        <v>0</v>
      </c>
      <c r="U11" s="67">
        <f>SUM(S11:T11)</f>
        <v>0</v>
      </c>
      <c r="V11" s="42">
        <f>SUM(L11+O11+R11+U11)</f>
        <v>0</v>
      </c>
      <c r="W11" s="1"/>
    </row>
    <row r="12" spans="1:23" ht="15.75">
      <c r="A12" s="1"/>
      <c r="B12" s="1" t="s">
        <v>14</v>
      </c>
      <c r="C12" s="3"/>
      <c r="D12" s="140" t="str">
        <f>IF(D11="ACAD",("SUMR"),"")</f>
        <v>SUMR</v>
      </c>
      <c r="E12" s="70">
        <v>0</v>
      </c>
      <c r="F12" s="99">
        <f t="shared" si="0"/>
        <v>0</v>
      </c>
      <c r="G12" s="69">
        <f>+G11*0.4375</f>
        <v>0</v>
      </c>
      <c r="J12" s="187">
        <f aca="true" t="shared" si="2" ref="J12:J18">ROUND(G12*E12,0)</f>
        <v>0</v>
      </c>
      <c r="K12" s="155">
        <f>ROUND(J12*'RATES-Non Fed'!E38,0)</f>
        <v>0</v>
      </c>
      <c r="L12" s="67">
        <f aca="true" t="shared" si="3" ref="L12:L18">ROUND(K12+J12,0)</f>
        <v>0</v>
      </c>
      <c r="M12" s="187">
        <f aca="true" t="shared" si="4" ref="M12:M18">ROUND((J12*1.02),0)</f>
        <v>0</v>
      </c>
      <c r="N12" s="155">
        <f>ROUND(M12*'RATES-Non Fed'!G38,0)</f>
        <v>0</v>
      </c>
      <c r="O12" s="67">
        <f t="shared" si="1"/>
        <v>0</v>
      </c>
      <c r="P12" s="187">
        <f aca="true" t="shared" si="5" ref="P12:P18">ROUND((M12*1.02),0)</f>
        <v>0</v>
      </c>
      <c r="Q12" s="155">
        <f>ROUND(P12*'RATES-Non Fed'!I38,0)</f>
        <v>0</v>
      </c>
      <c r="R12" s="67">
        <f aca="true" t="shared" si="6" ref="R12:R18">SUM(P12:Q12)</f>
        <v>0</v>
      </c>
      <c r="S12" s="187">
        <f aca="true" t="shared" si="7" ref="S12:S18">ROUND((P12*1.02),0)</f>
        <v>0</v>
      </c>
      <c r="T12" s="155">
        <f>ROUND(S12*'RATES-Non Fed'!K38,0)</f>
        <v>0</v>
      </c>
      <c r="U12" s="67">
        <f aca="true" t="shared" si="8" ref="U12:U18">SUM(S12:T12)</f>
        <v>0</v>
      </c>
      <c r="V12" s="42">
        <f aca="true" t="shared" si="9" ref="V12:V18">SUM(L12+O12+R12+U12)</f>
        <v>0</v>
      </c>
      <c r="W12" s="1"/>
    </row>
    <row r="13" spans="1:23" ht="15.75">
      <c r="A13" s="1"/>
      <c r="B13" s="1" t="s">
        <v>15</v>
      </c>
      <c r="C13" s="3"/>
      <c r="D13" s="140" t="s">
        <v>127</v>
      </c>
      <c r="E13" s="70">
        <v>0</v>
      </c>
      <c r="F13" s="99">
        <f t="shared" si="0"/>
        <v>0</v>
      </c>
      <c r="G13" s="69">
        <v>0</v>
      </c>
      <c r="J13" s="187">
        <f t="shared" si="2"/>
        <v>0</v>
      </c>
      <c r="K13" s="155">
        <f>ROUND(J13*'RATES-Non Fed'!E38,0)</f>
        <v>0</v>
      </c>
      <c r="L13" s="67">
        <f t="shared" si="3"/>
        <v>0</v>
      </c>
      <c r="M13" s="187">
        <f t="shared" si="4"/>
        <v>0</v>
      </c>
      <c r="N13" s="155">
        <f>ROUND(M13*'RATES-Non Fed'!G38,0)</f>
        <v>0</v>
      </c>
      <c r="O13" s="67">
        <f t="shared" si="1"/>
        <v>0</v>
      </c>
      <c r="P13" s="187">
        <f t="shared" si="5"/>
        <v>0</v>
      </c>
      <c r="Q13" s="155">
        <f>ROUND(P13*'RATES-Non Fed'!I38,0)</f>
        <v>0</v>
      </c>
      <c r="R13" s="67">
        <f t="shared" si="6"/>
        <v>0</v>
      </c>
      <c r="S13" s="187">
        <f t="shared" si="7"/>
        <v>0</v>
      </c>
      <c r="T13" s="155">
        <f>ROUND(S13*'RATES-Non Fed'!K38,0)</f>
        <v>0</v>
      </c>
      <c r="U13" s="67">
        <f t="shared" si="8"/>
        <v>0</v>
      </c>
      <c r="V13" s="42">
        <f t="shared" si="9"/>
        <v>0</v>
      </c>
      <c r="W13" s="1"/>
    </row>
    <row r="14" spans="1:22" ht="15.75">
      <c r="A14" s="1"/>
      <c r="B14" s="1"/>
      <c r="C14" s="3"/>
      <c r="D14" s="140" t="str">
        <f>IF(D13="ACAD",("SUMR"),"")</f>
        <v>SUMR</v>
      </c>
      <c r="E14" s="70">
        <v>0</v>
      </c>
      <c r="F14" s="99">
        <f t="shared" si="0"/>
        <v>0</v>
      </c>
      <c r="G14" s="69">
        <f>+G13*0.4375</f>
        <v>0</v>
      </c>
      <c r="J14" s="187">
        <f t="shared" si="2"/>
        <v>0</v>
      </c>
      <c r="K14" s="155">
        <f>ROUND(J14*'RATES-Non Fed'!E38,0)</f>
        <v>0</v>
      </c>
      <c r="L14" s="67">
        <f t="shared" si="3"/>
        <v>0</v>
      </c>
      <c r="M14" s="187">
        <f t="shared" si="4"/>
        <v>0</v>
      </c>
      <c r="N14" s="155">
        <f>ROUND(M14*'RATES-Non Fed'!G38,0)</f>
        <v>0</v>
      </c>
      <c r="O14" s="67">
        <f t="shared" si="1"/>
        <v>0</v>
      </c>
      <c r="P14" s="187">
        <f t="shared" si="5"/>
        <v>0</v>
      </c>
      <c r="Q14" s="155">
        <f>ROUND(P14*'RATES-Non Fed'!I38,0)</f>
        <v>0</v>
      </c>
      <c r="R14" s="67">
        <f t="shared" si="6"/>
        <v>0</v>
      </c>
      <c r="S14" s="187">
        <f t="shared" si="7"/>
        <v>0</v>
      </c>
      <c r="T14" s="155">
        <f>ROUND(S14*'RATES-Non Fed'!K38,0)</f>
        <v>0</v>
      </c>
      <c r="U14" s="67">
        <f t="shared" si="8"/>
        <v>0</v>
      </c>
      <c r="V14" s="42">
        <f t="shared" si="9"/>
        <v>0</v>
      </c>
    </row>
    <row r="15" spans="1:23" ht="15.75">
      <c r="A15" s="1"/>
      <c r="B15" s="1" t="s">
        <v>15</v>
      </c>
      <c r="C15" s="3"/>
      <c r="D15" s="140" t="s">
        <v>127</v>
      </c>
      <c r="E15" s="70">
        <v>0</v>
      </c>
      <c r="F15" s="99">
        <f t="shared" si="0"/>
        <v>0</v>
      </c>
      <c r="G15" s="69">
        <v>0</v>
      </c>
      <c r="J15" s="187">
        <f t="shared" si="2"/>
        <v>0</v>
      </c>
      <c r="K15" s="155">
        <f>ROUND(J15*'RATES-Non Fed'!E38,0)</f>
        <v>0</v>
      </c>
      <c r="L15" s="67">
        <f t="shared" si="3"/>
        <v>0</v>
      </c>
      <c r="M15" s="187">
        <f t="shared" si="4"/>
        <v>0</v>
      </c>
      <c r="N15" s="155">
        <f>ROUND(M15*'RATES-Non Fed'!G38,0)</f>
        <v>0</v>
      </c>
      <c r="O15" s="67">
        <f t="shared" si="1"/>
        <v>0</v>
      </c>
      <c r="P15" s="187">
        <f t="shared" si="5"/>
        <v>0</v>
      </c>
      <c r="Q15" s="155">
        <f>ROUND(P15*'RATES-Non Fed'!I38,0)</f>
        <v>0</v>
      </c>
      <c r="R15" s="67">
        <f t="shared" si="6"/>
        <v>0</v>
      </c>
      <c r="S15" s="187">
        <f t="shared" si="7"/>
        <v>0</v>
      </c>
      <c r="T15" s="155">
        <f>ROUND(S15*'RATES-Non Fed'!K38,0)</f>
        <v>0</v>
      </c>
      <c r="U15" s="67">
        <f t="shared" si="8"/>
        <v>0</v>
      </c>
      <c r="V15" s="42">
        <f t="shared" si="9"/>
        <v>0</v>
      </c>
      <c r="W15" s="1"/>
    </row>
    <row r="16" spans="1:22" ht="15.75">
      <c r="A16" s="1"/>
      <c r="B16" s="1"/>
      <c r="C16" s="3"/>
      <c r="D16" s="140" t="str">
        <f>IF(D15="ACAD",("SUMR"),"")</f>
        <v>SUMR</v>
      </c>
      <c r="E16" s="70">
        <v>0</v>
      </c>
      <c r="F16" s="99">
        <f t="shared" si="0"/>
        <v>0</v>
      </c>
      <c r="G16" s="69">
        <f>+G15*0.4375</f>
        <v>0</v>
      </c>
      <c r="J16" s="187">
        <f t="shared" si="2"/>
        <v>0</v>
      </c>
      <c r="K16" s="155">
        <f>ROUND(J16*'RATES-Non Fed'!E38,0)</f>
        <v>0</v>
      </c>
      <c r="L16" s="67">
        <f t="shared" si="3"/>
        <v>0</v>
      </c>
      <c r="M16" s="187">
        <f t="shared" si="4"/>
        <v>0</v>
      </c>
      <c r="N16" s="155">
        <f>ROUND(M16*'RATES-Non Fed'!G38,0)</f>
        <v>0</v>
      </c>
      <c r="O16" s="67">
        <f t="shared" si="1"/>
        <v>0</v>
      </c>
      <c r="P16" s="187">
        <f t="shared" si="5"/>
        <v>0</v>
      </c>
      <c r="Q16" s="155">
        <f>ROUND(P16*'RATES-Non Fed'!I38,0)</f>
        <v>0</v>
      </c>
      <c r="R16" s="67">
        <f t="shared" si="6"/>
        <v>0</v>
      </c>
      <c r="S16" s="187">
        <f t="shared" si="7"/>
        <v>0</v>
      </c>
      <c r="T16" s="155">
        <f>ROUND(S16*'RATES-Non Fed'!K38,0)</f>
        <v>0</v>
      </c>
      <c r="U16" s="67">
        <f t="shared" si="8"/>
        <v>0</v>
      </c>
      <c r="V16" s="42">
        <f t="shared" si="9"/>
        <v>0</v>
      </c>
    </row>
    <row r="17" spans="1:23" ht="15.75">
      <c r="A17" s="1"/>
      <c r="B17" s="1" t="s">
        <v>15</v>
      </c>
      <c r="C17" s="3"/>
      <c r="D17" s="140" t="s">
        <v>126</v>
      </c>
      <c r="E17" s="70">
        <v>0</v>
      </c>
      <c r="F17" s="99">
        <f t="shared" si="0"/>
        <v>0</v>
      </c>
      <c r="G17" s="69">
        <v>0</v>
      </c>
      <c r="J17" s="187">
        <f t="shared" si="2"/>
        <v>0</v>
      </c>
      <c r="K17" s="155">
        <f>ROUND(J17*'RATES-Non Fed'!E38,0)</f>
        <v>0</v>
      </c>
      <c r="L17" s="255">
        <f t="shared" si="3"/>
        <v>0</v>
      </c>
      <c r="M17" s="193">
        <f t="shared" si="4"/>
        <v>0</v>
      </c>
      <c r="N17" s="256">
        <f>ROUND(M17*'RATES-Non Fed'!G38,0)</f>
        <v>0</v>
      </c>
      <c r="O17" s="255">
        <f t="shared" si="1"/>
        <v>0</v>
      </c>
      <c r="P17" s="193">
        <f t="shared" si="5"/>
        <v>0</v>
      </c>
      <c r="Q17" s="256">
        <f>ROUND(P17*'RATES-Non Fed'!I38,0)</f>
        <v>0</v>
      </c>
      <c r="R17" s="255">
        <f t="shared" si="6"/>
        <v>0</v>
      </c>
      <c r="S17" s="193">
        <f t="shared" si="7"/>
        <v>0</v>
      </c>
      <c r="T17" s="256">
        <f>ROUND(S17*'RATES-Non Fed'!K38,0)</f>
        <v>0</v>
      </c>
      <c r="U17" s="67">
        <f t="shared" si="8"/>
        <v>0</v>
      </c>
      <c r="V17" s="42">
        <f t="shared" si="9"/>
        <v>0</v>
      </c>
      <c r="W17" s="1"/>
    </row>
    <row r="18" spans="1:22" ht="15.75">
      <c r="A18" s="1"/>
      <c r="B18" s="1" t="s">
        <v>15</v>
      </c>
      <c r="C18" s="3"/>
      <c r="D18" s="140" t="s">
        <v>126</v>
      </c>
      <c r="E18" s="70">
        <v>0</v>
      </c>
      <c r="F18" s="99">
        <f t="shared" si="0"/>
        <v>0</v>
      </c>
      <c r="G18" s="69">
        <v>0</v>
      </c>
      <c r="J18" s="202">
        <f t="shared" si="2"/>
        <v>0</v>
      </c>
      <c r="K18" s="207">
        <f>ROUND(J18*'RATES-Non Fed'!E38,0)</f>
        <v>0</v>
      </c>
      <c r="L18" s="208">
        <f t="shared" si="3"/>
        <v>0</v>
      </c>
      <c r="M18" s="202">
        <f t="shared" si="4"/>
        <v>0</v>
      </c>
      <c r="N18" s="207">
        <f>ROUND(M18*'RATES-Non Fed'!G38,0)</f>
        <v>0</v>
      </c>
      <c r="O18" s="208">
        <f t="shared" si="1"/>
        <v>0</v>
      </c>
      <c r="P18" s="202">
        <f t="shared" si="5"/>
        <v>0</v>
      </c>
      <c r="Q18" s="207">
        <f>ROUND(P18*'RATES-Non Fed'!I38,0)</f>
        <v>0</v>
      </c>
      <c r="R18" s="208">
        <f t="shared" si="6"/>
        <v>0</v>
      </c>
      <c r="S18" s="202">
        <f t="shared" si="7"/>
        <v>0</v>
      </c>
      <c r="T18" s="207">
        <f>ROUND(S18*'RATES-Non Fed'!K38,0)</f>
        <v>0</v>
      </c>
      <c r="U18" s="208">
        <f t="shared" si="8"/>
        <v>0</v>
      </c>
      <c r="V18" s="205">
        <f t="shared" si="9"/>
        <v>0</v>
      </c>
    </row>
    <row r="19" spans="1:23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6">
        <f aca="true" t="shared" si="10" ref="J19:V19">SUM(J11:J18)</f>
        <v>0</v>
      </c>
      <c r="K19" s="156">
        <f t="shared" si="10"/>
        <v>0</v>
      </c>
      <c r="L19" s="46">
        <f t="shared" si="10"/>
        <v>0</v>
      </c>
      <c r="M19" s="206">
        <f t="shared" si="10"/>
        <v>0</v>
      </c>
      <c r="N19" s="156">
        <f t="shared" si="10"/>
        <v>0</v>
      </c>
      <c r="O19" s="46">
        <f t="shared" si="10"/>
        <v>0</v>
      </c>
      <c r="P19" s="206">
        <f t="shared" si="10"/>
        <v>0</v>
      </c>
      <c r="Q19" s="156">
        <f t="shared" si="10"/>
        <v>0</v>
      </c>
      <c r="R19" s="46">
        <f t="shared" si="10"/>
        <v>0</v>
      </c>
      <c r="S19" s="206">
        <f t="shared" si="10"/>
        <v>0</v>
      </c>
      <c r="T19" s="156">
        <f t="shared" si="10"/>
        <v>0</v>
      </c>
      <c r="U19" s="46">
        <f t="shared" si="10"/>
        <v>0</v>
      </c>
      <c r="V19" s="42">
        <f t="shared" si="10"/>
        <v>0</v>
      </c>
      <c r="W19" s="6"/>
    </row>
    <row r="20" spans="1:21" ht="15.75">
      <c r="A20" s="21" t="s">
        <v>226</v>
      </c>
      <c r="B20" s="21" t="s">
        <v>227</v>
      </c>
      <c r="C20" s="1"/>
      <c r="D20" s="25"/>
      <c r="E20" s="26"/>
      <c r="F20" s="26"/>
      <c r="G20" s="1"/>
      <c r="H20" s="1"/>
      <c r="I20" s="1"/>
      <c r="J20" s="206"/>
      <c r="K20" s="156"/>
      <c r="L20" s="46"/>
      <c r="M20" s="42"/>
      <c r="N20" s="6"/>
      <c r="O20"/>
      <c r="Q20"/>
      <c r="R20"/>
      <c r="T20"/>
      <c r="U20"/>
    </row>
    <row r="21" spans="1:22" ht="15.75">
      <c r="A21" s="1"/>
      <c r="B21" s="1" t="s">
        <v>15</v>
      </c>
      <c r="C21" s="3"/>
      <c r="D21" s="140" t="s">
        <v>126</v>
      </c>
      <c r="E21" s="70">
        <v>0</v>
      </c>
      <c r="F21" s="99">
        <f>IF(D21="CAL",(52*E21/4.3333),(IF(D21="ACAD",(32*E21/4.33333),IF(D21="SUMR",(14*E21/4.33333),IF(D21="PT",(0),0)))))</f>
        <v>0</v>
      </c>
      <c r="G21" s="69">
        <v>0</v>
      </c>
      <c r="J21" s="187">
        <f>ROUND(G21*E21,0)</f>
        <v>0</v>
      </c>
      <c r="K21" s="155">
        <f>ROUND(J21*'RATES-Non Fed'!E40,0)</f>
        <v>0</v>
      </c>
      <c r="L21" s="67">
        <f>ROUND(K21+J21,0)</f>
        <v>0</v>
      </c>
      <c r="M21" s="187">
        <f>ROUND((J21*1.02),0)</f>
        <v>0</v>
      </c>
      <c r="N21" s="155">
        <f>ROUND(M21*'RATES-Non Fed'!G40,0)</f>
        <v>0</v>
      </c>
      <c r="O21" s="67">
        <f>ROUND(M21+N21,0)</f>
        <v>0</v>
      </c>
      <c r="P21" s="187">
        <f>ROUND((M21*1.02),0)</f>
        <v>0</v>
      </c>
      <c r="Q21" s="155">
        <f>ROUND(P21*'RATES-Non Fed'!I40,0)</f>
        <v>0</v>
      </c>
      <c r="R21" s="67">
        <f>ROUND(P21+Q21,0)</f>
        <v>0</v>
      </c>
      <c r="S21" s="187">
        <f>ROUND((P21*1.02),0)</f>
        <v>0</v>
      </c>
      <c r="T21" s="155">
        <f>ROUND(S21*'RATES-Non Fed'!K40,0)</f>
        <v>0</v>
      </c>
      <c r="U21" s="76">
        <f>SUM(S21:T21)</f>
        <v>0</v>
      </c>
      <c r="V21" s="42">
        <f>SUM(L21+O21+R21+U21)</f>
        <v>0</v>
      </c>
    </row>
    <row r="22" spans="1:22" ht="15.75">
      <c r="A22" s="1"/>
      <c r="B22" s="1" t="s">
        <v>15</v>
      </c>
      <c r="C22" s="3"/>
      <c r="D22" s="140" t="s">
        <v>126</v>
      </c>
      <c r="E22" s="70">
        <v>0</v>
      </c>
      <c r="F22" s="99">
        <f>IF(D22="CAL",(52*E22/4.3333),(IF(D22="ACAD",(32*E22/4.33333),IF(D22="SUMR",(14*E22/4.33333),IF(D22="PT",(0),0)))))</f>
        <v>0</v>
      </c>
      <c r="G22" s="69">
        <v>0</v>
      </c>
      <c r="J22" s="187">
        <f>ROUND(G22*E22,0)</f>
        <v>0</v>
      </c>
      <c r="K22" s="155">
        <f>ROUND(J22*'RATES-Non Fed'!E40,0)</f>
        <v>0</v>
      </c>
      <c r="L22" s="67">
        <f>ROUND(K22+J22,0)</f>
        <v>0</v>
      </c>
      <c r="M22" s="187">
        <f>ROUND((J22*1.02),0)</f>
        <v>0</v>
      </c>
      <c r="N22" s="155">
        <f>ROUND(M22*'RATES-Non Fed'!G40,0)</f>
        <v>0</v>
      </c>
      <c r="O22" s="67">
        <f>ROUND(M22+N22,0)</f>
        <v>0</v>
      </c>
      <c r="P22" s="187">
        <f>ROUND((M22*1.02),0)</f>
        <v>0</v>
      </c>
      <c r="Q22" s="155">
        <f>ROUND(P22*'RATES-Non Fed'!I40,0)</f>
        <v>0</v>
      </c>
      <c r="R22" s="67">
        <f>ROUND(P22+Q22,0)</f>
        <v>0</v>
      </c>
      <c r="S22" s="187">
        <f>ROUND((P22*1.02),0)</f>
        <v>0</v>
      </c>
      <c r="T22" s="155">
        <f>ROUND(S22*'RATES-Non Fed'!K40,0)</f>
        <v>0</v>
      </c>
      <c r="U22" s="76">
        <f>SUM(S22:T22)</f>
        <v>0</v>
      </c>
      <c r="V22" s="42">
        <f>SUM(L22+O22+R22+U22)</f>
        <v>0</v>
      </c>
    </row>
    <row r="23" spans="1:22" ht="15.75">
      <c r="A23" s="1"/>
      <c r="B23" s="1" t="s">
        <v>15</v>
      </c>
      <c r="C23" s="3"/>
      <c r="D23" s="140" t="s">
        <v>126</v>
      </c>
      <c r="E23" s="70">
        <v>0</v>
      </c>
      <c r="F23" s="99">
        <f>IF(D23="CAL",(52*E23/4.3333),(IF(D23="ACAD",(32*E23/4.33333),IF(D23="SUMR",(14*E23/4.33333),IF(D23="PT",(0),0)))))</f>
        <v>0</v>
      </c>
      <c r="G23" s="69">
        <v>0</v>
      </c>
      <c r="J23" s="187">
        <f>ROUND(G23*E23,0)</f>
        <v>0</v>
      </c>
      <c r="K23" s="155">
        <f>ROUND(J23*'RATES-Non Fed'!E40,0)</f>
        <v>0</v>
      </c>
      <c r="L23" s="67">
        <f>ROUND(K23+J23,0)</f>
        <v>0</v>
      </c>
      <c r="M23" s="187">
        <f>ROUND((J23*1.02),0)</f>
        <v>0</v>
      </c>
      <c r="N23" s="155">
        <f>ROUND(M23*'RATES-Non Fed'!G40,0)</f>
        <v>0</v>
      </c>
      <c r="O23" s="67">
        <f>ROUND(M23+N23,0)</f>
        <v>0</v>
      </c>
      <c r="P23" s="187">
        <f>ROUND((M23*1.02),0)</f>
        <v>0</v>
      </c>
      <c r="Q23" s="155">
        <f>ROUND(P23*'RATES-Non Fed'!I40,0)</f>
        <v>0</v>
      </c>
      <c r="R23" s="67">
        <f>ROUND(P23+Q23,0)</f>
        <v>0</v>
      </c>
      <c r="S23" s="187">
        <f>ROUND((P23*1.02),0)</f>
        <v>0</v>
      </c>
      <c r="T23" s="155">
        <f>ROUND(S23*'RATES-Non Fed'!K40,0)</f>
        <v>0</v>
      </c>
      <c r="U23" s="76">
        <f>SUM(S23:T23)</f>
        <v>0</v>
      </c>
      <c r="V23" s="42">
        <f>SUM(L23+O23+R23+U23)</f>
        <v>0</v>
      </c>
    </row>
    <row r="24" spans="1:22" ht="15.75">
      <c r="A24" s="1"/>
      <c r="B24" s="1" t="s">
        <v>15</v>
      </c>
      <c r="C24" s="3"/>
      <c r="D24" s="140" t="s">
        <v>126</v>
      </c>
      <c r="E24" s="70">
        <v>0</v>
      </c>
      <c r="F24" s="99">
        <f>IF(D24="CAL",(52*E24/4.3333),(IF(D24="ACAD",(32*E24/4.33333),IF(D24="SUMR",(14*E24/4.33333),IF(D24="PT",(0),0)))))</f>
        <v>0</v>
      </c>
      <c r="G24" s="69">
        <v>0</v>
      </c>
      <c r="J24" s="187">
        <f>ROUND(G24*E24,0)</f>
        <v>0</v>
      </c>
      <c r="K24" s="207">
        <f>ROUND(J24*'RATES-Non Fed'!E40,0)</f>
        <v>0</v>
      </c>
      <c r="L24" s="208">
        <f>ROUND(K24+J24,0)</f>
        <v>0</v>
      </c>
      <c r="M24" s="202">
        <f>ROUND((J24*1.02),0)</f>
        <v>0</v>
      </c>
      <c r="N24" s="207">
        <f>ROUND(M24*'RATES-Non Fed'!G40,0)</f>
        <v>0</v>
      </c>
      <c r="O24" s="208">
        <f>ROUND(M24+N24,0)</f>
        <v>0</v>
      </c>
      <c r="P24" s="202">
        <f>ROUND((M24*1.02),0)</f>
        <v>0</v>
      </c>
      <c r="Q24" s="207">
        <f>ROUND(P24*'RATES-Non Fed'!I40,0)</f>
        <v>0</v>
      </c>
      <c r="R24" s="208">
        <f>ROUND(P24+Q24,0)</f>
        <v>0</v>
      </c>
      <c r="S24" s="202">
        <f>ROUND((P24*1.02),0)</f>
        <v>0</v>
      </c>
      <c r="T24" s="207">
        <f>ROUND(S24*'RATES-Non Fed'!K40,0)</f>
        <v>0</v>
      </c>
      <c r="U24" s="257">
        <f>SUM(S24:T24)</f>
        <v>0</v>
      </c>
      <c r="V24" s="205">
        <f>SUM(L24+O24+R24+U24)</f>
        <v>0</v>
      </c>
    </row>
    <row r="25" spans="1:22" ht="15.75">
      <c r="A25" s="1"/>
      <c r="B25" s="1"/>
      <c r="C25" s="1"/>
      <c r="D25" s="25" t="s">
        <v>231</v>
      </c>
      <c r="E25" s="26"/>
      <c r="F25" s="26"/>
      <c r="G25" s="1"/>
      <c r="H25" s="1"/>
      <c r="I25" s="1"/>
      <c r="J25" s="191">
        <f aca="true" t="shared" si="11" ref="J25:T25">SUM(J21:J24)</f>
        <v>0</v>
      </c>
      <c r="K25" s="156">
        <f t="shared" si="11"/>
        <v>0</v>
      </c>
      <c r="L25" s="46">
        <f t="shared" si="11"/>
        <v>0</v>
      </c>
      <c r="M25" s="76">
        <f t="shared" si="11"/>
        <v>0</v>
      </c>
      <c r="N25" s="6">
        <f t="shared" si="11"/>
        <v>0</v>
      </c>
      <c r="O25" s="76">
        <f t="shared" si="11"/>
        <v>0</v>
      </c>
      <c r="P25" s="42">
        <f t="shared" si="11"/>
        <v>0</v>
      </c>
      <c r="Q25" s="42">
        <f t="shared" si="11"/>
        <v>0</v>
      </c>
      <c r="R25" s="76">
        <f t="shared" si="11"/>
        <v>0</v>
      </c>
      <c r="S25" s="42">
        <f t="shared" si="11"/>
        <v>0</v>
      </c>
      <c r="T25" s="42">
        <f t="shared" si="11"/>
        <v>0</v>
      </c>
      <c r="U25"/>
      <c r="V25" s="42">
        <f>SUM(V21:V24)</f>
        <v>0</v>
      </c>
    </row>
    <row r="26" spans="1:22" ht="7.5" customHeight="1">
      <c r="A26" s="1"/>
      <c r="B26" s="1"/>
      <c r="C26" s="1"/>
      <c r="D26" s="26"/>
      <c r="E26" s="26"/>
      <c r="F26" s="26"/>
      <c r="G26" s="1"/>
      <c r="H26" s="1"/>
      <c r="I26" s="1"/>
      <c r="J26" s="192"/>
      <c r="K26" s="156"/>
      <c r="L26" s="46"/>
      <c r="M26" s="186"/>
      <c r="N26" s="156"/>
      <c r="O26" s="46"/>
      <c r="P26" s="186"/>
      <c r="Q26" s="156"/>
      <c r="R26" s="46"/>
      <c r="T26" s="6"/>
      <c r="U26"/>
      <c r="V26" s="42"/>
    </row>
    <row r="27" spans="1:22" ht="15.75">
      <c r="A27" s="22" t="s">
        <v>228</v>
      </c>
      <c r="B27" s="22" t="s">
        <v>17</v>
      </c>
      <c r="C27" s="1"/>
      <c r="D27" s="26"/>
      <c r="E27" s="1"/>
      <c r="F27" s="1"/>
      <c r="G27" s="41"/>
      <c r="H27" s="1"/>
      <c r="I27" s="1"/>
      <c r="J27" s="190"/>
      <c r="K27" s="152"/>
      <c r="L27" s="142"/>
      <c r="M27" s="190"/>
      <c r="N27" s="156"/>
      <c r="O27" s="46"/>
      <c r="P27" s="190"/>
      <c r="Q27" s="156"/>
      <c r="R27" s="46"/>
      <c r="T27" s="6"/>
      <c r="U27"/>
      <c r="V27" s="42"/>
    </row>
    <row r="28" spans="1:22" ht="15.75">
      <c r="A28" s="1"/>
      <c r="C28" s="13" t="s">
        <v>86</v>
      </c>
      <c r="D28" s="41" t="s">
        <v>123</v>
      </c>
      <c r="E28" s="68"/>
      <c r="F28" s="68"/>
      <c r="G28" s="59"/>
      <c r="J28" s="187"/>
      <c r="K28" s="244"/>
      <c r="L28" s="50"/>
      <c r="M28" s="187"/>
      <c r="N28" s="245"/>
      <c r="O28" s="147"/>
      <c r="P28" s="187"/>
      <c r="Q28" s="245"/>
      <c r="R28" s="147"/>
      <c r="T28" s="5"/>
      <c r="U28"/>
      <c r="V28" s="42"/>
    </row>
    <row r="29" spans="1:22" ht="15.75">
      <c r="A29" s="1"/>
      <c r="C29" s="13"/>
      <c r="D29" s="97"/>
      <c r="E29" s="70">
        <v>0</v>
      </c>
      <c r="F29" s="98">
        <f>SUM(52*E29/4.33)</f>
        <v>0</v>
      </c>
      <c r="G29" s="69">
        <v>0</v>
      </c>
      <c r="J29" s="187">
        <f>ROUND(G29*E29,0)</f>
        <v>0</v>
      </c>
      <c r="K29" s="244">
        <f>ROUND(J29*'RATES-Non Fed'!E39,0)</f>
        <v>0</v>
      </c>
      <c r="L29" s="50">
        <f>SUM(J29:K29)</f>
        <v>0</v>
      </c>
      <c r="M29" s="187">
        <f>ROUND(J29*1.02,0)</f>
        <v>0</v>
      </c>
      <c r="N29" s="244">
        <f>ROUND(M29*'RATES-Non Fed'!G39,0)</f>
        <v>0</v>
      </c>
      <c r="O29" s="50">
        <f>SUM(M29:N29)</f>
        <v>0</v>
      </c>
      <c r="P29" s="187">
        <f>ROUND(M29*1.02,0)</f>
        <v>0</v>
      </c>
      <c r="Q29" s="244">
        <f>ROUND(P29*'RATES-Non Fed'!I39,0)</f>
        <v>0</v>
      </c>
      <c r="R29" s="50">
        <f>SUM(P29:Q29)</f>
        <v>0</v>
      </c>
      <c r="S29" s="187">
        <f>ROUND(P29*1.02,0)</f>
        <v>0</v>
      </c>
      <c r="T29" s="244">
        <f>ROUND(S29*'RATES-Non Fed'!K39,0)</f>
        <v>0</v>
      </c>
      <c r="U29" s="50">
        <f>SUM(S29:T29)</f>
        <v>0</v>
      </c>
      <c r="V29" s="42">
        <f>SUM(L29+O29+R29+U29)</f>
        <v>0</v>
      </c>
    </row>
    <row r="30" spans="1:22" ht="15.75">
      <c r="A30" s="1"/>
      <c r="C30" s="13"/>
      <c r="D30" s="1"/>
      <c r="E30" s="70">
        <v>0</v>
      </c>
      <c r="F30" s="98">
        <f>SUM(52*E30/4.33)</f>
        <v>0</v>
      </c>
      <c r="G30" s="69">
        <v>0</v>
      </c>
      <c r="J30" s="187">
        <f>ROUND(G30*E30,0)</f>
        <v>0</v>
      </c>
      <c r="K30" s="244">
        <f>ROUND(J30*'RATES-Non Fed'!E39,0)</f>
        <v>0</v>
      </c>
      <c r="L30" s="50">
        <f>SUM(J30:K30)</f>
        <v>0</v>
      </c>
      <c r="M30" s="187">
        <f>ROUND(J30*1.02,0)</f>
        <v>0</v>
      </c>
      <c r="N30" s="244">
        <f>ROUND(M30*'RATES-Non Fed'!G39,0)</f>
        <v>0</v>
      </c>
      <c r="O30" s="50">
        <f>SUM(M30:N30)</f>
        <v>0</v>
      </c>
      <c r="P30" s="187">
        <f>ROUND(M30*1.02,0)</f>
        <v>0</v>
      </c>
      <c r="Q30" s="244">
        <f>ROUND(P30*'RATES-Non Fed'!I39,0)</f>
        <v>0</v>
      </c>
      <c r="R30" s="50">
        <f>SUM(P30:Q30)</f>
        <v>0</v>
      </c>
      <c r="S30" s="187">
        <f>ROUND(P30*1.02,0)</f>
        <v>0</v>
      </c>
      <c r="T30" s="244">
        <f>ROUND(S30*'RATES-Non Fed'!K39,0)</f>
        <v>0</v>
      </c>
      <c r="U30" s="50">
        <f>SUM(S30:T30)</f>
        <v>0</v>
      </c>
      <c r="V30" s="42">
        <f>SUM(L30+O30+R30+U30)</f>
        <v>0</v>
      </c>
    </row>
    <row r="31" spans="1:22" ht="15.75">
      <c r="A31" s="1"/>
      <c r="C31" s="13"/>
      <c r="D31" s="1"/>
      <c r="E31" s="70">
        <v>0</v>
      </c>
      <c r="F31" s="98">
        <f>SUM(52*E31/4.33)</f>
        <v>0</v>
      </c>
      <c r="G31" s="69">
        <v>0</v>
      </c>
      <c r="J31" s="202">
        <f>ROUND(G31*E31,0)</f>
        <v>0</v>
      </c>
      <c r="K31" s="203">
        <f>ROUND(J31*'RATES-Non Fed'!E39,0)</f>
        <v>0</v>
      </c>
      <c r="L31" s="204">
        <f>SUM(J31:K31)</f>
        <v>0</v>
      </c>
      <c r="M31" s="202">
        <f>ROUND(J31*1.02,0)</f>
        <v>0</v>
      </c>
      <c r="N31" s="203">
        <f>ROUND(M31*'RATES-Non Fed'!G39,0)</f>
        <v>0</v>
      </c>
      <c r="O31" s="204">
        <f>SUM(M31:N31)</f>
        <v>0</v>
      </c>
      <c r="P31" s="202">
        <f>ROUND(M31*1.02,0)</f>
        <v>0</v>
      </c>
      <c r="Q31" s="203">
        <f>ROUND(P31*'RATES-Non Fed'!I39,0)</f>
        <v>0</v>
      </c>
      <c r="R31" s="204">
        <f>SUM(P31:Q31)</f>
        <v>0</v>
      </c>
      <c r="S31" s="202">
        <f>ROUND(P31*1.02,0)</f>
        <v>0</v>
      </c>
      <c r="T31" s="203">
        <f>ROUND(S31*'RATES-Non Fed'!K39,0)</f>
        <v>0</v>
      </c>
      <c r="U31" s="204">
        <f>SUM(S31:T31)</f>
        <v>0</v>
      </c>
      <c r="V31" s="205">
        <f>SUM(L31+O31+R31+U31)</f>
        <v>0</v>
      </c>
    </row>
    <row r="32" spans="1:22" ht="15.75">
      <c r="A32" s="1"/>
      <c r="C32" s="13"/>
      <c r="D32" s="1" t="s">
        <v>124</v>
      </c>
      <c r="E32" s="70"/>
      <c r="F32" s="70"/>
      <c r="G32" s="69"/>
      <c r="J32" s="193">
        <f aca="true" t="shared" si="12" ref="J32:R32">SUM(J29:J31)</f>
        <v>0</v>
      </c>
      <c r="K32" s="244">
        <f t="shared" si="12"/>
        <v>0</v>
      </c>
      <c r="L32" s="50">
        <f t="shared" si="12"/>
        <v>0</v>
      </c>
      <c r="M32" s="193">
        <f t="shared" si="12"/>
        <v>0</v>
      </c>
      <c r="N32" s="245">
        <f t="shared" si="12"/>
        <v>0</v>
      </c>
      <c r="O32" s="147">
        <f t="shared" si="12"/>
        <v>0</v>
      </c>
      <c r="P32" s="193">
        <f t="shared" si="12"/>
        <v>0</v>
      </c>
      <c r="Q32" s="245">
        <f t="shared" si="12"/>
        <v>0</v>
      </c>
      <c r="R32" s="147">
        <f t="shared" si="12"/>
        <v>0</v>
      </c>
      <c r="S32" s="193">
        <f>SUM(S29:S31)</f>
        <v>0</v>
      </c>
      <c r="T32" s="245">
        <f>SUM(T29:T31)</f>
        <v>0</v>
      </c>
      <c r="U32" s="147">
        <f>SUM(U29:U31)</f>
        <v>0</v>
      </c>
      <c r="V32" s="42">
        <f>SUM(V29:V31)</f>
        <v>0</v>
      </c>
    </row>
    <row r="33" spans="1:22" ht="9.75" customHeight="1">
      <c r="A33" s="1"/>
      <c r="C33" s="13"/>
      <c r="D33" s="1"/>
      <c r="E33" s="70"/>
      <c r="F33" s="70"/>
      <c r="G33" s="69"/>
      <c r="J33" s="193"/>
      <c r="K33" s="244"/>
      <c r="L33" s="50"/>
      <c r="M33" s="193"/>
      <c r="N33" s="245"/>
      <c r="O33" s="147"/>
      <c r="P33" s="193"/>
      <c r="Q33" s="245"/>
      <c r="R33" s="147"/>
      <c r="T33" s="5"/>
      <c r="U33"/>
      <c r="V33" s="42"/>
    </row>
    <row r="34" spans="1:22" ht="15.75">
      <c r="A34" s="1"/>
      <c r="C34" s="13" t="s">
        <v>87</v>
      </c>
      <c r="D34" s="1"/>
      <c r="E34" s="70">
        <v>0</v>
      </c>
      <c r="F34" s="98">
        <f>SUM(52*E34/4.33)</f>
        <v>0</v>
      </c>
      <c r="G34" s="69">
        <v>0</v>
      </c>
      <c r="J34" s="187">
        <f>ROUND(G34*E34,0)</f>
        <v>0</v>
      </c>
      <c r="K34" s="244">
        <f>ROUND(J34*'RATES-Non Fed'!E43,0)</f>
        <v>0</v>
      </c>
      <c r="L34" s="50">
        <f>SUM(J34:K34)</f>
        <v>0</v>
      </c>
      <c r="M34" s="187">
        <f>ROUND((J34*1.02),0)</f>
        <v>0</v>
      </c>
      <c r="N34" s="244">
        <f>ROUND(M34*'RATES-Non Fed'!G43,0)</f>
        <v>0</v>
      </c>
      <c r="O34" s="50">
        <f>SUM(M34:N34)</f>
        <v>0</v>
      </c>
      <c r="P34" s="187">
        <f>ROUND((M34*1.02),0)</f>
        <v>0</v>
      </c>
      <c r="Q34" s="244">
        <f>ROUND(P34*'RATES-Non Fed'!I43,0)</f>
        <v>0</v>
      </c>
      <c r="R34" s="50">
        <f>SUM(P34:Q34)</f>
        <v>0</v>
      </c>
      <c r="S34" s="187">
        <f>ROUND((P34*1.02),0)</f>
        <v>0</v>
      </c>
      <c r="T34" s="244">
        <f>ROUND(S34*'RATES-Non Fed'!K43,0)</f>
        <v>0</v>
      </c>
      <c r="U34" s="50">
        <f>SUM(S34:T34)</f>
        <v>0</v>
      </c>
      <c r="V34" s="42">
        <f>SUM(L34+O34+R34+U34)</f>
        <v>0</v>
      </c>
    </row>
    <row r="35" spans="1:22" ht="15.75">
      <c r="A35" s="1"/>
      <c r="C35" s="13" t="s">
        <v>18</v>
      </c>
      <c r="D35" s="1"/>
      <c r="E35" s="70">
        <v>0</v>
      </c>
      <c r="F35" s="98">
        <f>SUM(52*E35/4.33)</f>
        <v>0</v>
      </c>
      <c r="G35" s="69">
        <v>0</v>
      </c>
      <c r="J35" s="187">
        <f>ROUND(G35*E35,0)</f>
        <v>0</v>
      </c>
      <c r="K35" s="244">
        <f>ROUND(J35*'RATES-Non Fed'!E42,0)</f>
        <v>0</v>
      </c>
      <c r="L35" s="50">
        <f>SUM(J35:K35)</f>
        <v>0</v>
      </c>
      <c r="M35" s="187">
        <f>ROUND((J35*1.02),0)</f>
        <v>0</v>
      </c>
      <c r="N35" s="244">
        <f>ROUND(M35*'RATES-Non Fed'!G42,0)</f>
        <v>0</v>
      </c>
      <c r="O35" s="50">
        <f>SUM(M35:N35)</f>
        <v>0</v>
      </c>
      <c r="P35" s="187">
        <f>ROUND((M35*1.02),0)</f>
        <v>0</v>
      </c>
      <c r="Q35" s="244">
        <f>ROUND(P35*'RATES-Non Fed'!I42,0)</f>
        <v>0</v>
      </c>
      <c r="R35" s="50">
        <f>SUM(P35:Q35)</f>
        <v>0</v>
      </c>
      <c r="S35" s="187">
        <f>ROUND((P35*1.02),0)</f>
        <v>0</v>
      </c>
      <c r="T35" s="244">
        <f>ROUND(S35*'RATES-Non Fed'!K42,0)</f>
        <v>0</v>
      </c>
      <c r="U35" s="50">
        <f>SUM(S35:T35)</f>
        <v>0</v>
      </c>
      <c r="V35" s="42">
        <f>SUM(L35+O35+R35+U35)</f>
        <v>0</v>
      </c>
    </row>
    <row r="36" spans="1:22" ht="15.75">
      <c r="A36" s="1"/>
      <c r="C36" s="13" t="s">
        <v>19</v>
      </c>
      <c r="D36" s="1"/>
      <c r="E36" s="70">
        <v>0</v>
      </c>
      <c r="F36" s="98">
        <f>SUM(52*E36/4.33)</f>
        <v>0</v>
      </c>
      <c r="G36" s="69">
        <v>0</v>
      </c>
      <c r="J36" s="187">
        <f>ROUND(G36*E36,0)</f>
        <v>0</v>
      </c>
      <c r="K36" s="244">
        <f>ROUND(J36*'RATES-Non Fed'!E42,0)</f>
        <v>0</v>
      </c>
      <c r="L36" s="50">
        <f>SUM(J36:K36)</f>
        <v>0</v>
      </c>
      <c r="M36" s="187">
        <f>ROUND((J36*1.02),0)</f>
        <v>0</v>
      </c>
      <c r="N36" s="244">
        <f>ROUND(M36*'RATES-Non Fed'!G42,0)</f>
        <v>0</v>
      </c>
      <c r="O36" s="50">
        <f>SUM(M36:N36)</f>
        <v>0</v>
      </c>
      <c r="P36" s="187">
        <f>ROUND((M36*1.02),0)</f>
        <v>0</v>
      </c>
      <c r="Q36" s="244">
        <f>ROUND(P36*'RATES-Non Fed'!I42,0)</f>
        <v>0</v>
      </c>
      <c r="R36" s="50">
        <f>SUM(P36:Q36)</f>
        <v>0</v>
      </c>
      <c r="S36" s="187">
        <f>ROUND((P36*1.02),0)</f>
        <v>0</v>
      </c>
      <c r="T36" s="244">
        <f>ROUND(S36*'RATES-Non Fed'!K42,0)</f>
        <v>0</v>
      </c>
      <c r="U36" s="50">
        <f>SUM(S36:T36)</f>
        <v>0</v>
      </c>
      <c r="V36" s="42">
        <f>SUM(L36+O36+R36+U36)</f>
        <v>0</v>
      </c>
    </row>
    <row r="37" spans="1:22" s="94" customFormat="1" ht="15.75">
      <c r="A37" s="142"/>
      <c r="C37" s="141" t="s">
        <v>20</v>
      </c>
      <c r="D37" s="142"/>
      <c r="E37" s="70">
        <v>0</v>
      </c>
      <c r="F37" s="98">
        <f>SUM(52*E37/4.33)</f>
        <v>0</v>
      </c>
      <c r="G37" s="69">
        <v>0</v>
      </c>
      <c r="J37" s="187">
        <f>ROUND(G37*E37,0)</f>
        <v>0</v>
      </c>
      <c r="K37" s="244">
        <f>ROUND(J37*'RATES-Non Fed'!E43,0)</f>
        <v>0</v>
      </c>
      <c r="L37" s="50">
        <f>SUM(J37:K37)</f>
        <v>0</v>
      </c>
      <c r="M37" s="187">
        <f>ROUND((J37*1.02),0)</f>
        <v>0</v>
      </c>
      <c r="N37" s="244">
        <f>ROUND(M37*'RATES-Non Fed'!G43,0)</f>
        <v>0</v>
      </c>
      <c r="O37" s="50">
        <f>SUM(M37:N37)</f>
        <v>0</v>
      </c>
      <c r="P37" s="187">
        <f>ROUND((M37*1.02),0)</f>
        <v>0</v>
      </c>
      <c r="Q37" s="244">
        <f>ROUND(P37*'RATES-Non Fed'!I43,0)</f>
        <v>0</v>
      </c>
      <c r="R37" s="50">
        <f>SUM(P37:Q37)</f>
        <v>0</v>
      </c>
      <c r="S37" s="187">
        <f>ROUND((P37*1.02),0)</f>
        <v>0</v>
      </c>
      <c r="T37" s="244">
        <f>ROUND(S37*'RATES-Non Fed'!K43,0)</f>
        <v>0</v>
      </c>
      <c r="U37" s="50">
        <f>SUM(S37:T37)</f>
        <v>0</v>
      </c>
      <c r="V37" s="42">
        <f>SUM(L37+O37+R37+U37)</f>
        <v>0</v>
      </c>
    </row>
    <row r="38" spans="1:23" s="94" customFormat="1" ht="15.75">
      <c r="A38" s="142"/>
      <c r="C38" s="141" t="s">
        <v>88</v>
      </c>
      <c r="D38" s="142"/>
      <c r="E38" s="70">
        <v>0</v>
      </c>
      <c r="F38" s="98">
        <f>SUM(52*E38/4.33)</f>
        <v>0</v>
      </c>
      <c r="G38" s="69">
        <v>0</v>
      </c>
      <c r="J38" s="202">
        <f>ROUND(G38*E38,0)</f>
        <v>0</v>
      </c>
      <c r="K38" s="203">
        <f>ROUND(J38*'RATES-Non Fed'!E41,0)</f>
        <v>0</v>
      </c>
      <c r="L38" s="204">
        <f>SUM(J38:K38)</f>
        <v>0</v>
      </c>
      <c r="M38" s="202">
        <f>ROUND((J38*1.02),0)</f>
        <v>0</v>
      </c>
      <c r="N38" s="210">
        <f>ROUND(M38*'RATES-Non Fed'!G41,0)</f>
        <v>0</v>
      </c>
      <c r="O38" s="204">
        <f>SUM(M38:N38)</f>
        <v>0</v>
      </c>
      <c r="P38" s="202">
        <f>ROUND((M38*1.02),0)</f>
        <v>0</v>
      </c>
      <c r="Q38" s="210">
        <f>ROUND(P38*'RATES-Non Fed'!I41,0)</f>
        <v>0</v>
      </c>
      <c r="R38" s="204">
        <f>SUM(P38:Q38)</f>
        <v>0</v>
      </c>
      <c r="S38" s="202">
        <f>ROUND((P38*1.02),0)</f>
        <v>0</v>
      </c>
      <c r="T38" s="210">
        <f>ROUND(S38*'RATES-Non Fed'!K41,0)</f>
        <v>0</v>
      </c>
      <c r="U38" s="204">
        <f>SUM(S38:T38)</f>
        <v>0</v>
      </c>
      <c r="V38" s="205">
        <f>SUM(L38+O38+R38+U38)</f>
        <v>0</v>
      </c>
      <c r="W38" s="258"/>
    </row>
    <row r="39" spans="1:22" ht="15.75">
      <c r="A39" s="1"/>
      <c r="B39" s="1"/>
      <c r="C39" s="1"/>
      <c r="D39" s="188" t="s">
        <v>176</v>
      </c>
      <c r="E39" s="26"/>
      <c r="F39" s="26"/>
      <c r="G39" s="1"/>
      <c r="H39" s="1"/>
      <c r="I39" s="1"/>
      <c r="J39" s="209">
        <f aca="true" t="shared" si="13" ref="J39:U39">SUM(J19+J25+J32+J34+J35+J36+J37+J38)</f>
        <v>0</v>
      </c>
      <c r="K39" s="244">
        <f t="shared" si="13"/>
        <v>0</v>
      </c>
      <c r="L39" s="50">
        <f t="shared" si="13"/>
        <v>0</v>
      </c>
      <c r="M39" s="209">
        <f t="shared" si="13"/>
        <v>0</v>
      </c>
      <c r="N39" s="244">
        <f t="shared" si="13"/>
        <v>0</v>
      </c>
      <c r="O39" s="50">
        <f t="shared" si="13"/>
        <v>0</v>
      </c>
      <c r="P39" s="209">
        <f t="shared" si="13"/>
        <v>0</v>
      </c>
      <c r="Q39" s="244">
        <f t="shared" si="13"/>
        <v>0</v>
      </c>
      <c r="R39" s="50">
        <f t="shared" si="13"/>
        <v>0</v>
      </c>
      <c r="S39" s="209">
        <f t="shared" si="13"/>
        <v>0</v>
      </c>
      <c r="T39" s="244">
        <f t="shared" si="13"/>
        <v>0</v>
      </c>
      <c r="U39" s="50">
        <f t="shared" si="13"/>
        <v>0</v>
      </c>
      <c r="V39" s="42">
        <f>SUM(V34:V38)</f>
        <v>0</v>
      </c>
    </row>
    <row r="40" spans="1:23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6"/>
      <c r="L40" s="176"/>
      <c r="M40" s="64"/>
      <c r="P40" s="64"/>
      <c r="Q40" s="156"/>
      <c r="R40" s="46"/>
      <c r="S40" s="64"/>
      <c r="T40" s="156"/>
      <c r="U40" s="46"/>
      <c r="V40" s="64" t="s">
        <v>1</v>
      </c>
      <c r="W40" s="6"/>
    </row>
    <row r="41" spans="1:23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8"/>
      <c r="L41" s="178"/>
      <c r="M41" s="47">
        <f>SUM(M39+N39)</f>
        <v>0</v>
      </c>
      <c r="N41" s="158"/>
      <c r="O41" s="143"/>
      <c r="P41" s="47">
        <f>SUM(P39+Q39)</f>
        <v>0</v>
      </c>
      <c r="Q41" s="158"/>
      <c r="R41" s="143"/>
      <c r="S41" s="47">
        <f>SUM(S39+T39)</f>
        <v>0</v>
      </c>
      <c r="T41" s="158"/>
      <c r="U41" s="143"/>
      <c r="V41" s="47">
        <f>SUM(J41+M41+P41+S41)</f>
        <v>0</v>
      </c>
      <c r="W41" s="29"/>
    </row>
    <row r="42" spans="1:23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6"/>
      <c r="L42" s="176"/>
      <c r="M42" s="46"/>
      <c r="N42" s="156"/>
      <c r="O42" s="46"/>
      <c r="P42" s="46"/>
      <c r="Q42" s="156"/>
      <c r="R42" s="46"/>
      <c r="S42" s="46"/>
      <c r="T42" s="156"/>
      <c r="U42" s="46"/>
      <c r="V42" s="46" t="s">
        <v>1</v>
      </c>
      <c r="W42" s="6"/>
    </row>
    <row r="43" spans="1:23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6"/>
      <c r="L43" s="176"/>
      <c r="M43" s="50"/>
      <c r="N43" s="156"/>
      <c r="O43" s="46"/>
      <c r="P43" s="50"/>
      <c r="Q43" s="156"/>
      <c r="R43" s="46"/>
      <c r="S43" s="50"/>
      <c r="T43" s="156"/>
      <c r="U43" s="46"/>
      <c r="V43" s="50" t="s">
        <v>1</v>
      </c>
      <c r="W43" s="6"/>
    </row>
    <row r="44" spans="1:23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6"/>
      <c r="L44" s="176"/>
      <c r="M44" s="42">
        <v>0</v>
      </c>
      <c r="N44" s="157"/>
      <c r="O44" s="50"/>
      <c r="P44" s="42">
        <v>0</v>
      </c>
      <c r="Q44" s="157"/>
      <c r="R44" s="50"/>
      <c r="S44" s="42">
        <v>0</v>
      </c>
      <c r="T44" s="157"/>
      <c r="U44" s="50"/>
      <c r="V44" s="42">
        <f>SUM(J44:U44)</f>
        <v>0</v>
      </c>
      <c r="W44" s="6"/>
    </row>
    <row r="45" spans="1:23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6"/>
      <c r="L45" s="176"/>
      <c r="M45" s="42">
        <v>0</v>
      </c>
      <c r="N45" s="157"/>
      <c r="O45" s="50"/>
      <c r="P45" s="42">
        <v>0</v>
      </c>
      <c r="Q45" s="157"/>
      <c r="R45" s="50"/>
      <c r="S45" s="42">
        <v>0</v>
      </c>
      <c r="T45" s="157"/>
      <c r="U45" s="50"/>
      <c r="V45" s="42">
        <f>SUM(J45:U45)</f>
        <v>0</v>
      </c>
      <c r="W45" s="6"/>
    </row>
    <row r="46" spans="1:23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9"/>
      <c r="L46" s="179"/>
      <c r="M46" s="53">
        <f>SUM(M44:M45)</f>
        <v>0</v>
      </c>
      <c r="N46" s="159"/>
      <c r="O46" s="48"/>
      <c r="P46" s="53">
        <f>SUM(P44:P45)</f>
        <v>0</v>
      </c>
      <c r="Q46" s="159"/>
      <c r="R46" s="48"/>
      <c r="S46" s="53">
        <f>SUM(S44:S45)</f>
        <v>0</v>
      </c>
      <c r="T46" s="159"/>
      <c r="U46" s="48"/>
      <c r="V46" s="53">
        <f>SUM(J46:U46)</f>
        <v>0</v>
      </c>
      <c r="W46" s="29"/>
    </row>
    <row r="47" spans="1:23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6"/>
      <c r="L47" s="176"/>
      <c r="M47" s="46"/>
      <c r="N47" s="156"/>
      <c r="O47" s="46"/>
      <c r="P47" s="46"/>
      <c r="Q47" s="156"/>
      <c r="R47" s="46"/>
      <c r="S47" s="46"/>
      <c r="T47" s="156"/>
      <c r="U47" s="46"/>
      <c r="V47" s="46"/>
      <c r="W47" s="6"/>
    </row>
    <row r="48" spans="1:23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7"/>
      <c r="L48" s="177"/>
      <c r="M48" s="45" t="s">
        <v>1</v>
      </c>
      <c r="N48" s="157"/>
      <c r="O48" s="50"/>
      <c r="P48" s="45" t="s">
        <v>1</v>
      </c>
      <c r="Q48" s="157"/>
      <c r="R48" s="50"/>
      <c r="S48" s="45" t="s">
        <v>1</v>
      </c>
      <c r="T48" s="157"/>
      <c r="U48" s="50"/>
      <c r="V48" s="45"/>
      <c r="W48" s="5"/>
    </row>
    <row r="49" spans="1:23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7"/>
      <c r="L49" s="177"/>
      <c r="M49" s="42">
        <f>ROUND((J49*1.02),0)</f>
        <v>0</v>
      </c>
      <c r="N49" s="167"/>
      <c r="O49" s="147"/>
      <c r="P49" s="42">
        <f>ROUND((M49*1.02),0)</f>
        <v>0</v>
      </c>
      <c r="Q49" s="167"/>
      <c r="R49" s="147"/>
      <c r="S49" s="42">
        <f>ROUND((P49*1.02),0)</f>
        <v>0</v>
      </c>
      <c r="T49" s="167"/>
      <c r="U49" s="147"/>
      <c r="V49" s="42">
        <f>SUM(J49:U49)</f>
        <v>0</v>
      </c>
      <c r="W49" s="5"/>
    </row>
    <row r="50" spans="1:23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7"/>
      <c r="L50" s="177"/>
      <c r="M50" s="42">
        <f>ROUND((J50*1.02),0)</f>
        <v>0</v>
      </c>
      <c r="N50" s="167"/>
      <c r="O50" s="147"/>
      <c r="P50" s="42">
        <f>ROUND((M50*1.02),0)</f>
        <v>0</v>
      </c>
      <c r="Q50" s="167"/>
      <c r="R50" s="147"/>
      <c r="S50" s="42">
        <f>ROUND((P50*1.02),0)</f>
        <v>0</v>
      </c>
      <c r="T50" s="167"/>
      <c r="U50" s="147"/>
      <c r="V50" s="42">
        <f>SUM(J50:U50)</f>
        <v>0</v>
      </c>
      <c r="W50" s="5"/>
    </row>
    <row r="51" spans="1:23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9"/>
      <c r="L51" s="179"/>
      <c r="M51" s="55">
        <f>SUM(M49:M50)</f>
        <v>0</v>
      </c>
      <c r="N51" s="159"/>
      <c r="O51" s="48"/>
      <c r="P51" s="55">
        <f>SUM(P49:P50)</f>
        <v>0</v>
      </c>
      <c r="Q51" s="159"/>
      <c r="R51" s="48"/>
      <c r="S51" s="55">
        <f>SUM(S49:S50)</f>
        <v>0</v>
      </c>
      <c r="T51" s="159"/>
      <c r="U51" s="48"/>
      <c r="V51" s="55">
        <f>SUM(J51:U51)</f>
        <v>0</v>
      </c>
      <c r="W51" s="29"/>
    </row>
    <row r="52" spans="1:23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6"/>
      <c r="L52" s="176"/>
      <c r="M52" s="42"/>
      <c r="N52" s="156"/>
      <c r="O52" s="46"/>
      <c r="P52" s="42"/>
      <c r="Q52" s="156"/>
      <c r="R52" s="46"/>
      <c r="S52" s="42"/>
      <c r="T52" s="156"/>
      <c r="U52" s="46"/>
      <c r="V52" s="42"/>
      <c r="W52" s="6"/>
    </row>
    <row r="53" spans="1:23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7"/>
      <c r="L53" s="177"/>
      <c r="M53" s="42" t="s">
        <v>1</v>
      </c>
      <c r="N53" s="157"/>
      <c r="O53" s="50"/>
      <c r="P53" s="42" t="s">
        <v>1</v>
      </c>
      <c r="Q53" s="157"/>
      <c r="R53" s="50"/>
      <c r="S53" s="42" t="s">
        <v>1</v>
      </c>
      <c r="T53" s="157"/>
      <c r="U53" s="50"/>
      <c r="V53" s="42"/>
      <c r="W53" s="5"/>
    </row>
    <row r="54" spans="1:23" ht="15.75">
      <c r="A54" s="21"/>
      <c r="B54" s="21"/>
      <c r="C54" s="13" t="s">
        <v>35</v>
      </c>
      <c r="D54" s="3"/>
      <c r="E54" s="31"/>
      <c r="F54" s="31"/>
      <c r="J54" s="42">
        <v>0</v>
      </c>
      <c r="K54" s="157"/>
      <c r="L54" s="177"/>
      <c r="M54" s="42">
        <f>ROUND((J54*1.02),0)</f>
        <v>0</v>
      </c>
      <c r="N54" s="167"/>
      <c r="O54" s="147"/>
      <c r="P54" s="42">
        <f>ROUND((M54*1.02),0)</f>
        <v>0</v>
      </c>
      <c r="Q54" s="167"/>
      <c r="R54" s="147"/>
      <c r="S54" s="42">
        <f>ROUND((P54*1.02),0)</f>
        <v>0</v>
      </c>
      <c r="T54" s="167"/>
      <c r="U54" s="147"/>
      <c r="V54" s="42">
        <f aca="true" t="shared" si="14" ref="V54:V65">SUM(J54:U54)</f>
        <v>0</v>
      </c>
      <c r="W54" s="5"/>
    </row>
    <row r="55" spans="1:23" ht="15.75">
      <c r="A55" s="21"/>
      <c r="B55" s="21"/>
      <c r="C55" s="13" t="s">
        <v>36</v>
      </c>
      <c r="D55" s="3"/>
      <c r="E55" s="31"/>
      <c r="F55" s="31"/>
      <c r="J55" s="42">
        <v>0</v>
      </c>
      <c r="K55" s="157"/>
      <c r="L55" s="177"/>
      <c r="M55" s="42">
        <f aca="true" t="shared" si="15" ref="M55:M60">ROUND((J55*1.02),0)</f>
        <v>0</v>
      </c>
      <c r="N55" s="167"/>
      <c r="O55" s="147"/>
      <c r="P55" s="42">
        <f aca="true" t="shared" si="16" ref="P55:P60">ROUND((M55*1.02),0)</f>
        <v>0</v>
      </c>
      <c r="Q55" s="167"/>
      <c r="R55" s="147"/>
      <c r="S55" s="42">
        <f aca="true" t="shared" si="17" ref="S55:S60">ROUND((P55*1.02),0)</f>
        <v>0</v>
      </c>
      <c r="T55" s="167"/>
      <c r="U55" s="147"/>
      <c r="V55" s="42">
        <f t="shared" si="14"/>
        <v>0</v>
      </c>
      <c r="W55" s="5"/>
    </row>
    <row r="56" spans="1:23" ht="15.75">
      <c r="A56" s="21"/>
      <c r="B56" s="21"/>
      <c r="C56" s="13" t="s">
        <v>37</v>
      </c>
      <c r="D56" s="3"/>
      <c r="E56" s="31"/>
      <c r="F56" s="31"/>
      <c r="J56" s="42">
        <v>0</v>
      </c>
      <c r="K56" s="157"/>
      <c r="L56" s="177"/>
      <c r="M56" s="42">
        <f t="shared" si="15"/>
        <v>0</v>
      </c>
      <c r="N56" s="167"/>
      <c r="O56" s="147"/>
      <c r="P56" s="42">
        <f t="shared" si="16"/>
        <v>0</v>
      </c>
      <c r="Q56" s="168"/>
      <c r="R56" s="42"/>
      <c r="S56" s="42">
        <f t="shared" si="17"/>
        <v>0</v>
      </c>
      <c r="T56" s="168"/>
      <c r="U56" s="42"/>
      <c r="V56" s="42">
        <f t="shared" si="14"/>
        <v>0</v>
      </c>
      <c r="W56" s="5"/>
    </row>
    <row r="57" spans="1:23" ht="15.75">
      <c r="A57" s="21"/>
      <c r="B57" s="21"/>
      <c r="C57" s="13" t="s">
        <v>38</v>
      </c>
      <c r="D57" s="3"/>
      <c r="E57" s="31"/>
      <c r="F57" s="31"/>
      <c r="J57" s="42">
        <v>0</v>
      </c>
      <c r="K57" s="157"/>
      <c r="L57" s="177"/>
      <c r="M57" s="42">
        <f t="shared" si="15"/>
        <v>0</v>
      </c>
      <c r="N57" s="167"/>
      <c r="O57" s="147"/>
      <c r="P57" s="42">
        <f t="shared" si="16"/>
        <v>0</v>
      </c>
      <c r="Q57" s="167"/>
      <c r="R57" s="147"/>
      <c r="S57" s="42">
        <f t="shared" si="17"/>
        <v>0</v>
      </c>
      <c r="T57" s="167"/>
      <c r="U57" s="147"/>
      <c r="V57" s="42">
        <f t="shared" si="14"/>
        <v>0</v>
      </c>
      <c r="W57" s="5"/>
    </row>
    <row r="58" spans="1:23" ht="15.75">
      <c r="A58" s="21"/>
      <c r="B58" s="21"/>
      <c r="C58" s="236" t="s">
        <v>100</v>
      </c>
      <c r="D58" s="3"/>
      <c r="E58" s="31"/>
      <c r="F58" s="31"/>
      <c r="J58" s="42">
        <v>0</v>
      </c>
      <c r="K58" s="157"/>
      <c r="L58" s="177"/>
      <c r="M58" s="42">
        <f t="shared" si="15"/>
        <v>0</v>
      </c>
      <c r="N58" s="167"/>
      <c r="O58" s="147"/>
      <c r="P58" s="42">
        <f t="shared" si="16"/>
        <v>0</v>
      </c>
      <c r="Q58" s="167"/>
      <c r="R58" s="147"/>
      <c r="S58" s="42">
        <f t="shared" si="17"/>
        <v>0</v>
      </c>
      <c r="T58" s="167"/>
      <c r="U58" s="147"/>
      <c r="V58" s="42">
        <f t="shared" si="14"/>
        <v>0</v>
      </c>
      <c r="W58" s="5"/>
    </row>
    <row r="59" spans="1:23" ht="15.75">
      <c r="A59" s="21"/>
      <c r="B59" s="21"/>
      <c r="C59" s="13" t="s">
        <v>90</v>
      </c>
      <c r="D59" s="3"/>
      <c r="E59" s="31"/>
      <c r="F59" s="31"/>
      <c r="J59" s="42">
        <v>0</v>
      </c>
      <c r="K59" s="157"/>
      <c r="L59" s="177"/>
      <c r="M59" s="42">
        <f t="shared" si="15"/>
        <v>0</v>
      </c>
      <c r="N59" s="168"/>
      <c r="O59" s="42"/>
      <c r="P59" s="42">
        <f t="shared" si="16"/>
        <v>0</v>
      </c>
      <c r="Q59" s="168"/>
      <c r="R59" s="42"/>
      <c r="S59" s="42">
        <f t="shared" si="17"/>
        <v>0</v>
      </c>
      <c r="T59" s="168"/>
      <c r="U59" s="42"/>
      <c r="V59" s="42">
        <f t="shared" si="14"/>
        <v>0</v>
      </c>
      <c r="W59" s="5"/>
    </row>
    <row r="60" spans="1:23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7"/>
      <c r="L60" s="177"/>
      <c r="M60" s="42">
        <f t="shared" si="15"/>
        <v>0</v>
      </c>
      <c r="N60" s="168"/>
      <c r="O60" s="42"/>
      <c r="P60" s="42">
        <f t="shared" si="16"/>
        <v>0</v>
      </c>
      <c r="Q60" s="168"/>
      <c r="R60" s="42"/>
      <c r="S60" s="42">
        <f t="shared" si="17"/>
        <v>0</v>
      </c>
      <c r="T60" s="168"/>
      <c r="U60" s="42"/>
      <c r="V60" s="42">
        <f t="shared" si="14"/>
        <v>0</v>
      </c>
      <c r="W60" s="5"/>
    </row>
    <row r="61" spans="1:24" ht="15.75">
      <c r="A61" s="21"/>
      <c r="B61" s="21"/>
      <c r="C61" s="22" t="s">
        <v>40</v>
      </c>
      <c r="D61" s="10"/>
      <c r="E61" s="31"/>
      <c r="F61" s="31"/>
      <c r="J61" s="42">
        <v>0</v>
      </c>
      <c r="K61" s="157"/>
      <c r="L61" s="177"/>
      <c r="M61" s="42">
        <v>0</v>
      </c>
      <c r="N61" s="167"/>
      <c r="O61" s="147"/>
      <c r="P61" s="42">
        <v>0</v>
      </c>
      <c r="Q61" s="167"/>
      <c r="R61" s="147"/>
      <c r="S61" s="42">
        <v>0</v>
      </c>
      <c r="T61" s="167"/>
      <c r="U61" s="147"/>
      <c r="V61" s="42">
        <f t="shared" si="14"/>
        <v>0</v>
      </c>
      <c r="W61" s="5"/>
      <c r="X61" s="76"/>
    </row>
    <row r="62" spans="1:24" ht="15.75">
      <c r="A62" s="21"/>
      <c r="B62" s="21"/>
      <c r="C62" s="63" t="s">
        <v>41</v>
      </c>
      <c r="D62" s="10"/>
      <c r="E62" s="31"/>
      <c r="F62" s="31"/>
      <c r="J62" s="42">
        <v>0</v>
      </c>
      <c r="K62" s="157"/>
      <c r="L62" s="177"/>
      <c r="M62" s="42">
        <v>0</v>
      </c>
      <c r="N62" s="167"/>
      <c r="O62" s="147"/>
      <c r="P62" s="42">
        <v>0</v>
      </c>
      <c r="Q62" s="167"/>
      <c r="R62" s="147"/>
      <c r="S62" s="42">
        <v>0</v>
      </c>
      <c r="T62" s="167"/>
      <c r="U62" s="147"/>
      <c r="V62" s="42">
        <f t="shared" si="14"/>
        <v>0</v>
      </c>
      <c r="W62" s="5"/>
      <c r="X62" s="76"/>
    </row>
    <row r="63" spans="1:24" ht="15.75">
      <c r="A63" s="21"/>
      <c r="B63" s="21"/>
      <c r="C63" s="63" t="s">
        <v>92</v>
      </c>
      <c r="D63" s="10"/>
      <c r="E63" s="31"/>
      <c r="F63" s="31"/>
      <c r="J63" s="42">
        <v>0</v>
      </c>
      <c r="K63" s="157"/>
      <c r="L63" s="177"/>
      <c r="M63" s="42">
        <v>0</v>
      </c>
      <c r="N63" s="167"/>
      <c r="O63" s="147"/>
      <c r="P63" s="42">
        <v>0</v>
      </c>
      <c r="Q63" s="167"/>
      <c r="R63" s="147"/>
      <c r="S63" s="42">
        <v>0</v>
      </c>
      <c r="T63" s="167"/>
      <c r="U63" s="147"/>
      <c r="V63" s="42">
        <f t="shared" si="14"/>
        <v>0</v>
      </c>
      <c r="W63" s="5"/>
      <c r="X63" s="76"/>
    </row>
    <row r="64" spans="1:24" ht="15.75">
      <c r="A64" s="21"/>
      <c r="B64" s="21"/>
      <c r="C64" s="63" t="s">
        <v>93</v>
      </c>
      <c r="D64" s="10"/>
      <c r="E64" s="31"/>
      <c r="F64" s="31"/>
      <c r="J64" s="42">
        <v>0</v>
      </c>
      <c r="K64" s="157"/>
      <c r="L64" s="177"/>
      <c r="M64" s="42">
        <v>0</v>
      </c>
      <c r="N64" s="167"/>
      <c r="O64" s="147"/>
      <c r="P64" s="42">
        <v>0</v>
      </c>
      <c r="Q64" s="167"/>
      <c r="R64" s="147"/>
      <c r="S64" s="42">
        <v>0</v>
      </c>
      <c r="T64" s="167"/>
      <c r="U64" s="147"/>
      <c r="V64" s="42">
        <f t="shared" si="14"/>
        <v>0</v>
      </c>
      <c r="W64" s="5"/>
      <c r="X64" s="76"/>
    </row>
    <row r="65" spans="1:24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60"/>
      <c r="L65" s="180"/>
      <c r="M65" s="43">
        <f>SUM(M54:M64)</f>
        <v>0</v>
      </c>
      <c r="N65" s="160"/>
      <c r="O65" s="44"/>
      <c r="P65" s="43">
        <f>SUM(P54:P64)</f>
        <v>0</v>
      </c>
      <c r="Q65" s="160"/>
      <c r="R65" s="44"/>
      <c r="S65" s="43">
        <f>SUM(S54:S64)</f>
        <v>0</v>
      </c>
      <c r="T65" s="160"/>
      <c r="U65" s="44"/>
      <c r="V65" s="43">
        <f t="shared" si="14"/>
        <v>0</v>
      </c>
      <c r="W65" s="34"/>
      <c r="X65" s="76"/>
    </row>
    <row r="66" spans="1:23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6"/>
      <c r="L66" s="176"/>
      <c r="M66" s="46"/>
      <c r="N66" s="156"/>
      <c r="O66" s="46"/>
      <c r="P66" s="46"/>
      <c r="Q66" s="156"/>
      <c r="R66" s="46"/>
      <c r="S66" s="46"/>
      <c r="T66" s="156"/>
      <c r="U66" s="46"/>
      <c r="V66" s="46" t="s">
        <v>1</v>
      </c>
      <c r="W66" s="6"/>
    </row>
    <row r="67" spans="1:23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1"/>
      <c r="L67" s="181"/>
      <c r="M67" s="65">
        <f>ROUND(+M65+M51+M46+M41,0)</f>
        <v>0</v>
      </c>
      <c r="N67" s="161"/>
      <c r="O67" s="65"/>
      <c r="P67" s="65">
        <f>ROUND(+P65+P51+P46+P41,0)</f>
        <v>0</v>
      </c>
      <c r="Q67" s="161"/>
      <c r="R67" s="65"/>
      <c r="S67" s="65">
        <f>ROUND(+S65+S51+S46+S41,0)</f>
        <v>0</v>
      </c>
      <c r="T67" s="161"/>
      <c r="U67" s="65"/>
      <c r="V67" s="65">
        <f>SUM(J67:U67)</f>
        <v>0</v>
      </c>
      <c r="W67" s="34"/>
    </row>
    <row r="68" spans="1:22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1"/>
      <c r="L68" s="181"/>
      <c r="M68" s="65"/>
      <c r="N68" s="169"/>
      <c r="O68" s="196"/>
      <c r="P68" s="65"/>
      <c r="Q68" s="169"/>
      <c r="R68" s="196"/>
      <c r="S68" s="65"/>
      <c r="T68" s="169"/>
      <c r="U68" s="196"/>
      <c r="V68" s="65"/>
    </row>
    <row r="69" spans="1:24" ht="15.75">
      <c r="A69" s="28"/>
      <c r="B69" s="28"/>
      <c r="C69" s="28"/>
      <c r="D69" s="21"/>
      <c r="G69" s="39"/>
      <c r="H69" s="96" t="s">
        <v>119</v>
      </c>
      <c r="I69" s="39"/>
      <c r="J69" s="74">
        <f>SUM(J67)</f>
        <v>0</v>
      </c>
      <c r="K69" s="162"/>
      <c r="L69" s="182"/>
      <c r="M69" s="74">
        <f>SUM(M67)</f>
        <v>0</v>
      </c>
      <c r="N69" s="162"/>
      <c r="O69" s="197"/>
      <c r="P69" s="74">
        <f>SUM(P67)</f>
        <v>0</v>
      </c>
      <c r="Q69" s="162"/>
      <c r="R69" s="197"/>
      <c r="S69" s="74">
        <f>SUM(S67)</f>
        <v>0</v>
      </c>
      <c r="T69" s="162"/>
      <c r="U69" s="197"/>
      <c r="V69" s="74">
        <f>SUM(J69:U69)</f>
        <v>0</v>
      </c>
      <c r="X69" s="76"/>
    </row>
    <row r="70" spans="1:25" ht="15.75">
      <c r="A70" s="33" t="s">
        <v>118</v>
      </c>
      <c r="B70" s="1"/>
      <c r="C70" s="1"/>
      <c r="J70" s="42"/>
      <c r="K70" s="163"/>
      <c r="L70" s="183"/>
      <c r="M70" s="50"/>
      <c r="N70" s="163"/>
      <c r="O70" s="56"/>
      <c r="P70" s="50"/>
      <c r="Q70" s="163"/>
      <c r="R70" s="56"/>
      <c r="S70" s="50"/>
      <c r="T70" s="163"/>
      <c r="U70" s="56"/>
      <c r="V70" s="50"/>
      <c r="W70" s="5"/>
      <c r="Y70" s="75"/>
    </row>
    <row r="71" spans="1:23" ht="15.75">
      <c r="A71" s="13" t="s">
        <v>121</v>
      </c>
      <c r="B71" s="1"/>
      <c r="D71" s="7">
        <f>IF(AND(($E$78)="R",($E$80)="C"),('RATES-Non Fed'!E46),IF(AND(($E$78)="R",($E$80)="O"),('RATES-Non Fed'!E51),IF(AND(($E$78)="I",($E$80)="C"),('RATES-Non Fed'!E47),IF(AND(($E$78)="I",($E$80)="O"),('RATES-Non Fed'!E52),IF(AND(($E$78)="P",($E$80)="C"),('RATES-Non Fed'!E48),IF(AND(($E$78)="P",($E$80)="O"),('RATES-Non Fed'!E53),($E$79)))))))</f>
        <v>0.605</v>
      </c>
      <c r="E71" s="7">
        <f>IF(AND(($E$78)="R",($E$80)="C"),('RATES-Non Fed'!G46),IF(AND(($E$78)="R",($E$80)="O"),('RATES-Non Fed'!G51),IF(AND(($E$78)="I",($E$80)="C"),('RATES-Non Fed'!G47),IF(AND(($E$78)="I",($E$80)="O"),('RATES-Non Fed'!G52),IF(AND(($E$78)="P",($E$80)="C"),('RATES-Non Fed'!G48),IF(AND(($E$78)="P",($E$80)="O"),('RATES-Non Fed'!G53),($E$79)))))))</f>
        <v>0.605</v>
      </c>
      <c r="F71" s="7">
        <f>IF(AND(($E$78)="R",($E$80)="C"),('RATES-Non Fed'!I46),IF(AND(($E$78)="R",($E$80)="O"),('RATES-Non Fed'!I51),IF(AND(($E$78)="I",($E$80)="C"),('RATES-Non Fed'!I47),IF(AND(($E$78)="I",($E$80)="O"),('RATES-Non Fed'!I52),IF(AND(($E$78)="P",($E$80)="C"),('RATES-Non Fed'!I48),IF(AND(($E$78)="P",($E$80)="O"),('RATES-Non Fed'!I53),($E$79)))))))</f>
        <v>0.605</v>
      </c>
      <c r="G71" s="7">
        <f>IF(AND(($E$78)="R",($E$80)="C"),('RATES-Non Fed'!K46),IF(AND(($E$78)="R",($E$80)="O"),('RATES-Non Fed'!K51),IF(AND(($E$78)="I",($E$80)="C"),('RATES-Non Fed'!K47),IF(AND(($E$78)="I",($E$80)="O"),('RATES-Non Fed'!K52),IF(AND(($E$78)="P",($E$80)="C"),('RATES-Non Fed'!K48),IF(AND(($E$78)="P",($E$80)="O"),('RATES-Non Fed'!K53),($E$79)))))))</f>
        <v>0.605</v>
      </c>
      <c r="H71" s="7"/>
      <c r="J71" s="50">
        <f>SUM(J69*D71)</f>
        <v>0</v>
      </c>
      <c r="K71" s="157"/>
      <c r="L71" s="177"/>
      <c r="M71" s="50">
        <f>SUM(M69*E71)</f>
        <v>0</v>
      </c>
      <c r="N71" s="157"/>
      <c r="O71" s="50"/>
      <c r="P71" s="50">
        <f>SUM(P69*F71)</f>
        <v>0</v>
      </c>
      <c r="Q71" s="157"/>
      <c r="R71" s="50"/>
      <c r="S71" s="50">
        <f>SUM(S69*G71)</f>
        <v>0</v>
      </c>
      <c r="T71" s="157"/>
      <c r="U71" s="50"/>
      <c r="V71" s="50">
        <f>SUM(J71:U71)</f>
        <v>0</v>
      </c>
      <c r="W71" s="5"/>
    </row>
    <row r="72" spans="1:23" ht="15.75">
      <c r="A72" s="40" t="s">
        <v>120</v>
      </c>
      <c r="B72" s="1"/>
      <c r="C72" s="24"/>
      <c r="D72" s="35"/>
      <c r="E72" s="7"/>
      <c r="F72" s="7"/>
      <c r="G72" s="7"/>
      <c r="H72" s="7"/>
      <c r="I72" s="7"/>
      <c r="J72" s="53">
        <f>SUM(J71:J71)</f>
        <v>0</v>
      </c>
      <c r="K72" s="160"/>
      <c r="L72" s="180"/>
      <c r="M72" s="53">
        <f>SUM(M71:M71)</f>
        <v>0</v>
      </c>
      <c r="N72" s="160"/>
      <c r="O72" s="44"/>
      <c r="P72" s="53">
        <f>SUM(P71:P71)</f>
        <v>0</v>
      </c>
      <c r="Q72" s="160"/>
      <c r="R72" s="44"/>
      <c r="S72" s="53">
        <f>SUM(S71:S71)</f>
        <v>0</v>
      </c>
      <c r="T72" s="160"/>
      <c r="U72" s="44"/>
      <c r="V72" s="53">
        <f>SUM(J72:U72)</f>
        <v>0</v>
      </c>
      <c r="W72" s="5"/>
    </row>
    <row r="73" spans="1:23" ht="6.75" customHeight="1">
      <c r="A73" s="40"/>
      <c r="B73" s="1"/>
      <c r="C73" s="24"/>
      <c r="D73" s="35"/>
      <c r="E73" s="7"/>
      <c r="F73" s="7"/>
      <c r="G73" s="7"/>
      <c r="H73" s="7"/>
      <c r="I73" s="7"/>
      <c r="J73" s="61"/>
      <c r="K73" s="160"/>
      <c r="L73" s="180"/>
      <c r="M73" s="62"/>
      <c r="N73" s="160"/>
      <c r="O73" s="44"/>
      <c r="P73" s="62"/>
      <c r="Q73" s="160"/>
      <c r="R73" s="44"/>
      <c r="S73" s="62"/>
      <c r="T73" s="160"/>
      <c r="U73" s="44"/>
      <c r="V73" s="62"/>
      <c r="W73" s="5"/>
    </row>
    <row r="74" spans="1:23" ht="19.5" thickBot="1">
      <c r="A74" s="40"/>
      <c r="B74" s="1"/>
      <c r="C74" s="60" t="s">
        <v>44</v>
      </c>
      <c r="D74" s="35"/>
      <c r="E74" s="7"/>
      <c r="F74" s="7"/>
      <c r="G74" s="7"/>
      <c r="H74" s="7"/>
      <c r="I74" s="7"/>
      <c r="J74" s="72">
        <f>J72+J67</f>
        <v>0</v>
      </c>
      <c r="K74" s="161"/>
      <c r="L74" s="181"/>
      <c r="M74" s="72">
        <f>M72+M67</f>
        <v>0</v>
      </c>
      <c r="N74" s="161"/>
      <c r="O74" s="65"/>
      <c r="P74" s="72">
        <f>P72+P67</f>
        <v>0</v>
      </c>
      <c r="Q74" s="161"/>
      <c r="R74" s="65"/>
      <c r="S74" s="72">
        <f>S72+S67</f>
        <v>0</v>
      </c>
      <c r="T74" s="161"/>
      <c r="U74" s="65"/>
      <c r="V74" s="72">
        <f>SUM(J74:U74)</f>
        <v>0</v>
      </c>
      <c r="W74" s="5"/>
    </row>
    <row r="75" spans="1:23" ht="8.25" customHeight="1" thickTop="1">
      <c r="A75" s="28"/>
      <c r="B75" s="1"/>
      <c r="C75" s="35"/>
      <c r="D75" s="7"/>
      <c r="E75" s="7"/>
      <c r="F75" s="7"/>
      <c r="G75" s="7"/>
      <c r="H75" s="7"/>
      <c r="I75" s="7"/>
      <c r="J75" s="50"/>
      <c r="K75" s="157"/>
      <c r="L75" s="177"/>
      <c r="M75" s="50"/>
      <c r="N75" s="157"/>
      <c r="O75" s="50"/>
      <c r="P75" s="50"/>
      <c r="Q75" s="157"/>
      <c r="R75" s="50"/>
      <c r="S75" s="50"/>
      <c r="T75" s="157"/>
      <c r="U75" s="50"/>
      <c r="V75" s="50" t="s">
        <v>1</v>
      </c>
      <c r="W75" s="5"/>
    </row>
    <row r="76" spans="1:23" ht="9" customHeight="1">
      <c r="A76" s="1"/>
      <c r="B76" s="1"/>
      <c r="C76" s="1"/>
      <c r="D76" s="1"/>
      <c r="E76" s="1"/>
      <c r="F76" s="1"/>
      <c r="G76" s="1"/>
      <c r="H76" s="1"/>
      <c r="I76" s="1"/>
      <c r="J76" s="49"/>
      <c r="K76" s="164"/>
      <c r="L76" s="184"/>
      <c r="M76" s="58"/>
      <c r="N76" s="164"/>
      <c r="O76" s="57"/>
      <c r="P76" s="58"/>
      <c r="Q76" s="164"/>
      <c r="R76" s="57"/>
      <c r="S76" s="58"/>
      <c r="T76" s="164"/>
      <c r="U76" s="57"/>
      <c r="V76" s="58"/>
      <c r="W76" s="1"/>
    </row>
    <row r="77" ht="15.75">
      <c r="C77" s="36" t="s">
        <v>122</v>
      </c>
    </row>
    <row r="78" spans="3:7" ht="15.75">
      <c r="C78" s="14" t="s">
        <v>45</v>
      </c>
      <c r="E78" s="15" t="s">
        <v>46</v>
      </c>
      <c r="G78" s="14" t="s">
        <v>47</v>
      </c>
    </row>
    <row r="79" spans="3:6" ht="15.75">
      <c r="C79" s="14" t="s">
        <v>169</v>
      </c>
      <c r="E79" s="9">
        <v>0.1</v>
      </c>
      <c r="F79" s="9"/>
    </row>
    <row r="80" spans="3:7" ht="15.75">
      <c r="C80" s="14" t="s">
        <v>48</v>
      </c>
      <c r="E80" s="172" t="s">
        <v>49</v>
      </c>
      <c r="G80" s="14" t="s">
        <v>50</v>
      </c>
    </row>
    <row r="82" spans="4:19" ht="15.75">
      <c r="D82" s="223" t="s">
        <v>194</v>
      </c>
      <c r="H82" s="221">
        <f>+'RATES-Non Fed'!E31</f>
        <v>0.605</v>
      </c>
      <c r="J82" s="220">
        <f>J72/12*'RATES-Non Fed'!$C$46</f>
        <v>0</v>
      </c>
      <c r="L82" s="221">
        <f>+'RATES-Non Fed'!G31</f>
        <v>0.605</v>
      </c>
      <c r="M82" s="220">
        <f>M72/12*'RATES-Non Fed'!$C$46</f>
        <v>0</v>
      </c>
      <c r="O82" s="222">
        <f>+'RATES-Non Fed'!I31</f>
        <v>0.605</v>
      </c>
      <c r="P82" s="220">
        <f>P72/12*'RATES-Non Fed'!$C$46</f>
        <v>0</v>
      </c>
      <c r="R82" s="222">
        <f>+'RATES-Non Fed'!K31</f>
        <v>0.605</v>
      </c>
      <c r="S82" s="220">
        <f>S72/12*'RATES-Non Fed'!$C$46</f>
        <v>0</v>
      </c>
    </row>
    <row r="83" spans="4:19" ht="15.75" customHeight="1">
      <c r="D83" s="274" t="s">
        <v>195</v>
      </c>
      <c r="E83" s="274"/>
      <c r="F83" s="274"/>
      <c r="G83" s="274"/>
      <c r="H83" s="221">
        <f>+'RATES-Non Fed'!G31</f>
        <v>0.605</v>
      </c>
      <c r="J83" s="220">
        <f>J72/12*'RATES-Non Fed'!$D$46</f>
        <v>0</v>
      </c>
      <c r="L83" s="221">
        <f>+'RATES-Non Fed'!I31</f>
        <v>0.605</v>
      </c>
      <c r="M83" s="220">
        <f>M72/12*'RATES-Non Fed'!$D$46</f>
        <v>0</v>
      </c>
      <c r="O83" s="222">
        <f>+'RATES-Non Fed'!K31</f>
        <v>0.605</v>
      </c>
      <c r="P83" s="220">
        <f>P72/12*'RATES-Non Fed'!$D$46</f>
        <v>0</v>
      </c>
      <c r="R83" s="222">
        <f>+'RATES-Non Fed'!M31</f>
        <v>0.605</v>
      </c>
      <c r="S83" s="220">
        <f>S72/12*'RATES-Non Fed'!$D$46</f>
        <v>0</v>
      </c>
    </row>
    <row r="84" spans="4:23" ht="18.75">
      <c r="D84" s="274"/>
      <c r="E84" s="274"/>
      <c r="F84" s="274"/>
      <c r="G84" s="274"/>
      <c r="J84" s="220">
        <f>SUM(J82:J83)</f>
        <v>0</v>
      </c>
      <c r="M84" s="220">
        <f>SUM(M82:M83)</f>
        <v>0</v>
      </c>
      <c r="P84" s="220">
        <f>SUM(P82:P83)</f>
        <v>0</v>
      </c>
      <c r="S84" s="220">
        <f>SUM(S82:S83)</f>
        <v>0</v>
      </c>
      <c r="U84" s="285">
        <f>'RATES-Non Fed'!Q67</f>
        <v>0</v>
      </c>
      <c r="V84" s="285"/>
      <c r="W84" s="285"/>
    </row>
  </sheetData>
  <sheetProtection/>
  <mergeCells count="7">
    <mergeCell ref="D83:G84"/>
    <mergeCell ref="K4:U5"/>
    <mergeCell ref="J8:L8"/>
    <mergeCell ref="M8:O8"/>
    <mergeCell ref="P8:R8"/>
    <mergeCell ref="S8:U8"/>
    <mergeCell ref="U84:W84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 horizontalCentered="1"/>
  <pageMargins left="0.5" right="0.3" top="0.5" bottom="0.5" header="0.5" footer="0.5"/>
  <pageSetup fitToHeight="1" fitToWidth="1" horizontalDpi="300" verticalDpi="300" orientation="landscape" scale="45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87"/>
  <sheetViews>
    <sheetView showGridLines="0" zoomScale="75" zoomScaleNormal="75" workbookViewId="0" topLeftCell="A36">
      <selection activeCell="V72" sqref="V72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5" bestFit="1" customWidth="1"/>
    <col min="12" max="12" width="10.125" style="185" bestFit="1" customWidth="1"/>
    <col min="13" max="13" width="11.25390625" style="0" customWidth="1"/>
    <col min="14" max="14" width="9.25390625" style="165" bestFit="1" customWidth="1"/>
    <col min="15" max="15" width="9.50390625" style="94" bestFit="1" customWidth="1"/>
    <col min="16" max="16" width="11.25390625" style="0" customWidth="1"/>
    <col min="17" max="17" width="9.25390625" style="165" bestFit="1" customWidth="1"/>
    <col min="18" max="18" width="8.75390625" style="94" bestFit="1" customWidth="1"/>
    <col min="19" max="19" width="11.25390625" style="0" customWidth="1"/>
    <col min="20" max="20" width="9.25390625" style="165" bestFit="1" customWidth="1"/>
    <col min="21" max="21" width="8.75390625" style="94" bestFit="1" customWidth="1"/>
    <col min="22" max="22" width="11.25390625" style="0" customWidth="1"/>
    <col min="23" max="23" width="9.25390625" style="165" bestFit="1" customWidth="1"/>
    <col min="24" max="24" width="8.75390625" style="94" bestFit="1" customWidth="1"/>
    <col min="25" max="25" width="14.625" style="0" customWidth="1"/>
    <col min="26" max="26" width="2.625" style="0" customWidth="1"/>
  </cols>
  <sheetData>
    <row r="1" spans="1:24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1"/>
      <c r="L1" s="173"/>
      <c r="M1" s="37"/>
      <c r="N1" s="166"/>
      <c r="O1" s="195"/>
      <c r="P1" s="37"/>
      <c r="Q1" s="166"/>
      <c r="R1" s="195"/>
      <c r="S1" s="37"/>
      <c r="T1" s="166"/>
      <c r="U1" s="195"/>
      <c r="V1" s="37"/>
      <c r="W1" s="166"/>
      <c r="X1" s="195"/>
    </row>
    <row r="2" spans="1:25" ht="18.75">
      <c r="A2" s="17" t="s">
        <v>91</v>
      </c>
      <c r="B2" s="18"/>
      <c r="C2" s="18"/>
      <c r="D2" s="18"/>
      <c r="E2" s="18"/>
      <c r="F2" s="18"/>
      <c r="G2" s="18"/>
      <c r="H2" s="18"/>
      <c r="I2" s="18"/>
      <c r="J2" s="19"/>
      <c r="K2" s="151"/>
      <c r="L2" s="173"/>
      <c r="M2" s="37"/>
      <c r="N2" s="166"/>
      <c r="O2" s="195"/>
      <c r="P2" s="37"/>
      <c r="Q2" s="166"/>
      <c r="R2" s="195"/>
      <c r="S2" s="37"/>
      <c r="T2" s="166"/>
      <c r="U2" s="195"/>
      <c r="V2" s="37"/>
      <c r="W2" s="166"/>
      <c r="X2" s="195"/>
      <c r="Y2" s="37"/>
    </row>
    <row r="3" spans="1:25" ht="9.75" customHeight="1">
      <c r="A3" s="10" t="s">
        <v>1</v>
      </c>
      <c r="B3" s="1"/>
      <c r="J3" s="11" t="s">
        <v>1</v>
      </c>
      <c r="K3" s="152"/>
      <c r="L3" s="174"/>
      <c r="M3" s="8"/>
      <c r="P3" s="8"/>
      <c r="S3" s="8"/>
      <c r="V3" s="8"/>
      <c r="Y3" s="8"/>
    </row>
    <row r="4" spans="1:25" ht="15.75">
      <c r="A4" s="22" t="s">
        <v>2</v>
      </c>
      <c r="B4" s="1"/>
      <c r="D4" s="10" t="s">
        <v>69</v>
      </c>
      <c r="G4" s="3"/>
      <c r="J4" s="20" t="s">
        <v>3</v>
      </c>
      <c r="K4" s="275" t="s">
        <v>69</v>
      </c>
      <c r="L4" s="276"/>
      <c r="M4" s="277"/>
      <c r="N4" s="277"/>
      <c r="O4" s="277"/>
      <c r="P4" s="277"/>
      <c r="Q4" s="277"/>
      <c r="R4" s="277"/>
      <c r="S4" s="277"/>
      <c r="T4" s="277"/>
      <c r="U4" s="277"/>
      <c r="V4" s="287"/>
      <c r="W4" s="153"/>
      <c r="X4" s="148"/>
      <c r="Y4" s="8"/>
    </row>
    <row r="5" spans="1:25" ht="18.75">
      <c r="A5" s="22" t="s">
        <v>4</v>
      </c>
      <c r="B5" s="1"/>
      <c r="D5" s="10" t="s">
        <v>69</v>
      </c>
      <c r="E5" s="3"/>
      <c r="F5" s="3"/>
      <c r="H5" s="2"/>
      <c r="I5" s="2"/>
      <c r="J5" s="38"/>
      <c r="K5" s="279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8"/>
      <c r="W5" s="153"/>
      <c r="X5" s="148"/>
      <c r="Y5" s="8"/>
    </row>
    <row r="6" spans="1:25" ht="15.75">
      <c r="A6" s="14"/>
      <c r="B6" s="22" t="s">
        <v>5</v>
      </c>
      <c r="D6" s="73">
        <f>'RATES-Non Fed'!E2</f>
        <v>42917</v>
      </c>
      <c r="E6" s="12" t="s">
        <v>6</v>
      </c>
      <c r="F6" s="12"/>
      <c r="G6" s="73">
        <f>'RATES-Non Fed'!G2</f>
        <v>44742</v>
      </c>
      <c r="H6" s="4"/>
      <c r="I6" s="4"/>
      <c r="J6" s="2"/>
      <c r="K6" s="153"/>
      <c r="L6" s="175"/>
      <c r="M6" s="3"/>
      <c r="N6" s="153"/>
      <c r="O6" s="148"/>
      <c r="P6" s="3"/>
      <c r="Q6" s="153"/>
      <c r="R6" s="148"/>
      <c r="S6" s="3"/>
      <c r="T6" s="153"/>
      <c r="U6" s="148"/>
      <c r="V6" s="3"/>
      <c r="W6" s="153"/>
      <c r="X6" s="148"/>
      <c r="Y6" s="8"/>
    </row>
    <row r="7" spans="5:26" ht="7.5" customHeight="1">
      <c r="E7" s="3"/>
      <c r="F7" s="3"/>
      <c r="G7" s="1"/>
      <c r="H7" s="1"/>
      <c r="I7" s="1"/>
      <c r="J7" s="16" t="s">
        <v>1</v>
      </c>
      <c r="K7" s="152"/>
      <c r="L7" s="174"/>
      <c r="M7" s="8"/>
      <c r="N7" s="152"/>
      <c r="O7" s="142"/>
      <c r="P7" s="8"/>
      <c r="Q7" s="152"/>
      <c r="R7" s="142"/>
      <c r="S7" s="8"/>
      <c r="T7" s="152"/>
      <c r="U7" s="142"/>
      <c r="V7" s="8"/>
      <c r="W7" s="152"/>
      <c r="X7" s="142"/>
      <c r="Y7" s="8"/>
      <c r="Z7" s="1"/>
    </row>
    <row r="8" spans="1:26" ht="15.75">
      <c r="A8" s="21"/>
      <c r="B8" s="21"/>
      <c r="C8" s="21"/>
      <c r="D8" s="21"/>
      <c r="E8" s="21"/>
      <c r="F8" s="21"/>
      <c r="G8" s="21"/>
      <c r="H8" s="21"/>
      <c r="I8" s="21"/>
      <c r="J8" s="264" t="s">
        <v>21</v>
      </c>
      <c r="K8" s="265"/>
      <c r="L8" s="266"/>
      <c r="M8" s="282" t="s">
        <v>52</v>
      </c>
      <c r="N8" s="283"/>
      <c r="O8" s="284"/>
      <c r="P8" s="282" t="s">
        <v>54</v>
      </c>
      <c r="Q8" s="283"/>
      <c r="R8" s="284"/>
      <c r="S8" s="282" t="s">
        <v>56</v>
      </c>
      <c r="T8" s="283"/>
      <c r="U8" s="284"/>
      <c r="V8" s="282" t="s">
        <v>58</v>
      </c>
      <c r="W8" s="283"/>
      <c r="X8" s="284"/>
      <c r="Y8" s="171" t="s">
        <v>8</v>
      </c>
      <c r="Z8" s="21"/>
    </row>
    <row r="9" spans="1:26" s="146" customFormat="1" ht="15.75">
      <c r="A9" s="144" t="s">
        <v>9</v>
      </c>
      <c r="B9" s="144" t="s">
        <v>10</v>
      </c>
      <c r="C9" s="144"/>
      <c r="D9" s="144"/>
      <c r="E9" s="144"/>
      <c r="F9" s="144"/>
      <c r="G9" s="144"/>
      <c r="H9" s="144"/>
      <c r="I9" s="144"/>
      <c r="J9" s="189" t="s">
        <v>173</v>
      </c>
      <c r="K9" s="154" t="s">
        <v>174</v>
      </c>
      <c r="L9" s="144" t="s">
        <v>175</v>
      </c>
      <c r="M9" s="194" t="s">
        <v>173</v>
      </c>
      <c r="N9" s="154" t="s">
        <v>174</v>
      </c>
      <c r="O9" s="144" t="s">
        <v>175</v>
      </c>
      <c r="P9" s="194" t="s">
        <v>173</v>
      </c>
      <c r="Q9" s="154" t="s">
        <v>174</v>
      </c>
      <c r="R9" s="144" t="s">
        <v>175</v>
      </c>
      <c r="S9" s="194" t="s">
        <v>173</v>
      </c>
      <c r="T9" s="154" t="s">
        <v>174</v>
      </c>
      <c r="U9" s="144" t="s">
        <v>175</v>
      </c>
      <c r="V9" s="194" t="s">
        <v>173</v>
      </c>
      <c r="W9" s="154" t="s">
        <v>174</v>
      </c>
      <c r="X9" s="144" t="s">
        <v>175</v>
      </c>
      <c r="Y9" s="145"/>
      <c r="Z9" s="144"/>
    </row>
    <row r="10" spans="1:26" ht="15.75">
      <c r="A10" s="1"/>
      <c r="B10" s="23" t="s">
        <v>11</v>
      </c>
      <c r="C10" s="24"/>
      <c r="D10" s="24" t="s">
        <v>99</v>
      </c>
      <c r="E10" s="1" t="s">
        <v>12</v>
      </c>
      <c r="F10" s="41" t="s">
        <v>125</v>
      </c>
      <c r="G10" s="41" t="s">
        <v>13</v>
      </c>
      <c r="H10" s="1"/>
      <c r="I10" s="1"/>
      <c r="J10" s="190"/>
      <c r="K10" s="152"/>
      <c r="L10" s="142"/>
      <c r="M10" s="190"/>
      <c r="N10" s="152"/>
      <c r="O10" s="142"/>
      <c r="P10" s="190"/>
      <c r="Q10" s="152"/>
      <c r="R10" s="142"/>
      <c r="S10" s="190"/>
      <c r="T10" s="152"/>
      <c r="U10" s="142"/>
      <c r="V10" s="190"/>
      <c r="W10" s="152"/>
      <c r="X10" s="142"/>
      <c r="Y10" s="2">
        <f>IF(SUM(J10:N10)=0,"",SUM(J10:N10))</f>
      </c>
      <c r="Z10" s="1"/>
    </row>
    <row r="11" spans="1:26" ht="15.75">
      <c r="A11" s="1"/>
      <c r="B11" s="1" t="s">
        <v>14</v>
      </c>
      <c r="C11" s="10" t="str">
        <f>+D5</f>
        <v>name</v>
      </c>
      <c r="D11" s="140" t="s">
        <v>127</v>
      </c>
      <c r="E11" s="70">
        <v>0</v>
      </c>
      <c r="F11" s="99">
        <f aca="true" t="shared" si="0" ref="F11:F18">IF(D11="CAL",(52*E11/4.3333),(IF(D11="ACAD",(32*E11/4.33333),IF(D11="SUMR",(14*E11/4.33333),IF(D11="PT",(0),0)))))</f>
        <v>0</v>
      </c>
      <c r="G11" s="69">
        <v>0</v>
      </c>
      <c r="J11" s="187">
        <f>ROUND(G11*E11,0)</f>
        <v>0</v>
      </c>
      <c r="K11" s="155">
        <f>ROUND(J11*'RATES-Non Fed'!E38,0)</f>
        <v>0</v>
      </c>
      <c r="L11" s="67">
        <f>ROUND(K11+J11,0)</f>
        <v>0</v>
      </c>
      <c r="M11" s="187">
        <f>ROUND((J11*1.02),0)</f>
        <v>0</v>
      </c>
      <c r="N11" s="155">
        <f>ROUND(M11*'RATES-Non Fed'!G38,0)</f>
        <v>0</v>
      </c>
      <c r="O11" s="67">
        <f aca="true" t="shared" si="1" ref="O11:O18">ROUND(M11+N11,0)</f>
        <v>0</v>
      </c>
      <c r="P11" s="187">
        <f>ROUND((M11*1.02),0)</f>
        <v>0</v>
      </c>
      <c r="Q11" s="155">
        <f>ROUND(P11*'RATES-Non Fed'!I38,0)</f>
        <v>0</v>
      </c>
      <c r="R11" s="67">
        <f>SUM(P11:Q11)</f>
        <v>0</v>
      </c>
      <c r="S11" s="187">
        <f>ROUND((P11*1.02),0)</f>
        <v>0</v>
      </c>
      <c r="T11" s="155">
        <f>ROUND(S11*'RATES-Non Fed'!K38,0)</f>
        <v>0</v>
      </c>
      <c r="U11" s="67">
        <f>SUM(S11:T11)</f>
        <v>0</v>
      </c>
      <c r="V11" s="187">
        <f>ROUND((S11*1.02),0)</f>
        <v>0</v>
      </c>
      <c r="W11" s="155">
        <f>ROUND(V11*'RATES-Non Fed'!M38,0)</f>
        <v>0</v>
      </c>
      <c r="X11" s="67">
        <f>SUM(V11:W11)</f>
        <v>0</v>
      </c>
      <c r="Y11" s="42">
        <f>SUM(L11+O11+R11+U11+X11)</f>
        <v>0</v>
      </c>
      <c r="Z11" s="1"/>
    </row>
    <row r="12" spans="1:26" ht="15.75">
      <c r="A12" s="1"/>
      <c r="B12" s="1" t="s">
        <v>14</v>
      </c>
      <c r="C12" s="3"/>
      <c r="D12" s="140" t="str">
        <f>IF(D11="ACAD",("SUMR"),"")</f>
        <v>SUMR</v>
      </c>
      <c r="E12" s="70">
        <v>0</v>
      </c>
      <c r="F12" s="99">
        <f t="shared" si="0"/>
        <v>0</v>
      </c>
      <c r="G12" s="69">
        <f>+G11*0.4375</f>
        <v>0</v>
      </c>
      <c r="J12" s="187">
        <f aca="true" t="shared" si="2" ref="J12:J18">ROUND(G12*E12,0)</f>
        <v>0</v>
      </c>
      <c r="K12" s="155">
        <f>ROUND(J12*'RATES-Non Fed'!E38,0)</f>
        <v>0</v>
      </c>
      <c r="L12" s="67">
        <f aca="true" t="shared" si="3" ref="L12:L18">ROUND(K12+J12,0)</f>
        <v>0</v>
      </c>
      <c r="M12" s="187">
        <f aca="true" t="shared" si="4" ref="M12:M18">ROUND((J12*1.02),0)</f>
        <v>0</v>
      </c>
      <c r="N12" s="155">
        <f>ROUND(M12*'RATES-Non Fed'!G38,0)</f>
        <v>0</v>
      </c>
      <c r="O12" s="67">
        <f t="shared" si="1"/>
        <v>0</v>
      </c>
      <c r="P12" s="187">
        <f aca="true" t="shared" si="5" ref="P12:P18">ROUND((M12*1.02),0)</f>
        <v>0</v>
      </c>
      <c r="Q12" s="155">
        <f>ROUND(P12*'RATES-Non Fed'!I38,0)</f>
        <v>0</v>
      </c>
      <c r="R12" s="67">
        <f aca="true" t="shared" si="6" ref="R12:R18">SUM(P12:Q12)</f>
        <v>0</v>
      </c>
      <c r="S12" s="187">
        <f aca="true" t="shared" si="7" ref="S12:S18">ROUND((P12*1.02),0)</f>
        <v>0</v>
      </c>
      <c r="T12" s="155">
        <f>ROUND(S12*'RATES-Non Fed'!K38,0)</f>
        <v>0</v>
      </c>
      <c r="U12" s="67">
        <f aca="true" t="shared" si="8" ref="U12:U18">SUM(S12:T12)</f>
        <v>0</v>
      </c>
      <c r="V12" s="187">
        <f aca="true" t="shared" si="9" ref="V12:V18">ROUND((S12*1.02),0)</f>
        <v>0</v>
      </c>
      <c r="W12" s="155">
        <f>ROUND(V12*'RATES-Non Fed'!M38,0)</f>
        <v>0</v>
      </c>
      <c r="X12" s="67">
        <f aca="true" t="shared" si="10" ref="X12:X18">SUM(V12:W12)</f>
        <v>0</v>
      </c>
      <c r="Y12" s="42">
        <f aca="true" t="shared" si="11" ref="Y12:Y19">SUM(L12+O12+R12+U12+X12)</f>
        <v>0</v>
      </c>
      <c r="Z12" s="1"/>
    </row>
    <row r="13" spans="1:26" ht="15.75">
      <c r="A13" s="1"/>
      <c r="B13" s="1" t="s">
        <v>15</v>
      </c>
      <c r="C13" s="3"/>
      <c r="D13" s="140" t="s">
        <v>127</v>
      </c>
      <c r="E13" s="70">
        <v>0</v>
      </c>
      <c r="F13" s="99">
        <f t="shared" si="0"/>
        <v>0</v>
      </c>
      <c r="G13" s="69">
        <v>0</v>
      </c>
      <c r="J13" s="187">
        <f t="shared" si="2"/>
        <v>0</v>
      </c>
      <c r="K13" s="155">
        <f>ROUND(J13*'RATES-Non Fed'!E38,0)</f>
        <v>0</v>
      </c>
      <c r="L13" s="67">
        <f t="shared" si="3"/>
        <v>0</v>
      </c>
      <c r="M13" s="187">
        <f t="shared" si="4"/>
        <v>0</v>
      </c>
      <c r="N13" s="155">
        <f>ROUND(M13*'RATES-Non Fed'!G38,0)</f>
        <v>0</v>
      </c>
      <c r="O13" s="67">
        <f t="shared" si="1"/>
        <v>0</v>
      </c>
      <c r="P13" s="187">
        <f t="shared" si="5"/>
        <v>0</v>
      </c>
      <c r="Q13" s="155">
        <f>ROUND(P13*'RATES-Non Fed'!I38,0)</f>
        <v>0</v>
      </c>
      <c r="R13" s="67">
        <f t="shared" si="6"/>
        <v>0</v>
      </c>
      <c r="S13" s="187">
        <f t="shared" si="7"/>
        <v>0</v>
      </c>
      <c r="T13" s="155">
        <f>ROUND(S13*'RATES-Non Fed'!K38,0)</f>
        <v>0</v>
      </c>
      <c r="U13" s="67">
        <f t="shared" si="8"/>
        <v>0</v>
      </c>
      <c r="V13" s="187">
        <f t="shared" si="9"/>
        <v>0</v>
      </c>
      <c r="W13" s="155">
        <f>ROUND(V13*'RATES-Non Fed'!M38,0)</f>
        <v>0</v>
      </c>
      <c r="X13" s="67">
        <f t="shared" si="10"/>
        <v>0</v>
      </c>
      <c r="Y13" s="42">
        <f t="shared" si="11"/>
        <v>0</v>
      </c>
      <c r="Z13" s="1"/>
    </row>
    <row r="14" spans="1:25" ht="15.75">
      <c r="A14" s="1"/>
      <c r="B14" s="1"/>
      <c r="C14" s="3"/>
      <c r="D14" s="140" t="str">
        <f>IF(D13="ACAD",("SUMR"),"")</f>
        <v>SUMR</v>
      </c>
      <c r="E14" s="70">
        <v>0</v>
      </c>
      <c r="F14" s="99">
        <f t="shared" si="0"/>
        <v>0</v>
      </c>
      <c r="G14" s="69">
        <f>+G13*0.4375</f>
        <v>0</v>
      </c>
      <c r="J14" s="187">
        <f t="shared" si="2"/>
        <v>0</v>
      </c>
      <c r="K14" s="155">
        <f>ROUND(J14*'RATES-Non Fed'!E38,0)</f>
        <v>0</v>
      </c>
      <c r="L14" s="67">
        <f t="shared" si="3"/>
        <v>0</v>
      </c>
      <c r="M14" s="187">
        <f t="shared" si="4"/>
        <v>0</v>
      </c>
      <c r="N14" s="155">
        <f>ROUND(M14*'RATES-Non Fed'!G38,0)</f>
        <v>0</v>
      </c>
      <c r="O14" s="67">
        <f t="shared" si="1"/>
        <v>0</v>
      </c>
      <c r="P14" s="187">
        <f t="shared" si="5"/>
        <v>0</v>
      </c>
      <c r="Q14" s="155">
        <f>ROUND(P14*'RATES-Non Fed'!I38,0)</f>
        <v>0</v>
      </c>
      <c r="R14" s="67">
        <f t="shared" si="6"/>
        <v>0</v>
      </c>
      <c r="S14" s="187">
        <f t="shared" si="7"/>
        <v>0</v>
      </c>
      <c r="T14" s="155">
        <f>ROUND(S14*'RATES-Non Fed'!K38,0)</f>
        <v>0</v>
      </c>
      <c r="U14" s="67">
        <f t="shared" si="8"/>
        <v>0</v>
      </c>
      <c r="V14" s="187">
        <f t="shared" si="9"/>
        <v>0</v>
      </c>
      <c r="W14" s="155">
        <f>ROUND(V14*'RATES-Non Fed'!M38,0)</f>
        <v>0</v>
      </c>
      <c r="X14" s="67">
        <f t="shared" si="10"/>
        <v>0</v>
      </c>
      <c r="Y14" s="42">
        <f t="shared" si="11"/>
        <v>0</v>
      </c>
    </row>
    <row r="15" spans="1:26" ht="15.75">
      <c r="A15" s="1"/>
      <c r="B15" s="1" t="s">
        <v>15</v>
      </c>
      <c r="C15" s="3"/>
      <c r="D15" s="140" t="s">
        <v>127</v>
      </c>
      <c r="E15" s="70">
        <v>0</v>
      </c>
      <c r="F15" s="99">
        <f t="shared" si="0"/>
        <v>0</v>
      </c>
      <c r="G15" s="69">
        <v>0</v>
      </c>
      <c r="J15" s="187">
        <f t="shared" si="2"/>
        <v>0</v>
      </c>
      <c r="K15" s="155">
        <f>ROUND(J15*'RATES-Non Fed'!E38,0)</f>
        <v>0</v>
      </c>
      <c r="L15" s="67">
        <f t="shared" si="3"/>
        <v>0</v>
      </c>
      <c r="M15" s="187">
        <f t="shared" si="4"/>
        <v>0</v>
      </c>
      <c r="N15" s="155">
        <f>ROUND(M15*'RATES-Non Fed'!G38,0)</f>
        <v>0</v>
      </c>
      <c r="O15" s="67">
        <f t="shared" si="1"/>
        <v>0</v>
      </c>
      <c r="P15" s="187">
        <f t="shared" si="5"/>
        <v>0</v>
      </c>
      <c r="Q15" s="155">
        <f>ROUND(P15*'RATES-Non Fed'!I38,0)</f>
        <v>0</v>
      </c>
      <c r="R15" s="67">
        <f t="shared" si="6"/>
        <v>0</v>
      </c>
      <c r="S15" s="187">
        <f t="shared" si="7"/>
        <v>0</v>
      </c>
      <c r="T15" s="155">
        <f>ROUND(S15*'RATES-Non Fed'!K38,0)</f>
        <v>0</v>
      </c>
      <c r="U15" s="67">
        <f t="shared" si="8"/>
        <v>0</v>
      </c>
      <c r="V15" s="187">
        <f t="shared" si="9"/>
        <v>0</v>
      </c>
      <c r="W15" s="155">
        <f>ROUND(V15*'RATES-Non Fed'!M38,0)</f>
        <v>0</v>
      </c>
      <c r="X15" s="67">
        <f t="shared" si="10"/>
        <v>0</v>
      </c>
      <c r="Y15" s="42">
        <f t="shared" si="11"/>
        <v>0</v>
      </c>
      <c r="Z15" s="1"/>
    </row>
    <row r="16" spans="1:25" ht="15.75">
      <c r="A16" s="1"/>
      <c r="B16" s="1"/>
      <c r="C16" s="3"/>
      <c r="D16" s="140" t="str">
        <f>IF(D15="ACAD",("SUMR"),"")</f>
        <v>SUMR</v>
      </c>
      <c r="E16" s="70">
        <v>0</v>
      </c>
      <c r="F16" s="99">
        <f t="shared" si="0"/>
        <v>0</v>
      </c>
      <c r="G16" s="69">
        <f>+G15*0.4375</f>
        <v>0</v>
      </c>
      <c r="J16" s="187">
        <f t="shared" si="2"/>
        <v>0</v>
      </c>
      <c r="K16" s="155">
        <f>ROUND(J16*'RATES-Non Fed'!E38,0)</f>
        <v>0</v>
      </c>
      <c r="L16" s="67">
        <f t="shared" si="3"/>
        <v>0</v>
      </c>
      <c r="M16" s="187">
        <f t="shared" si="4"/>
        <v>0</v>
      </c>
      <c r="N16" s="155">
        <f>ROUND(M16*'RATES-Non Fed'!G38,0)</f>
        <v>0</v>
      </c>
      <c r="O16" s="67">
        <f t="shared" si="1"/>
        <v>0</v>
      </c>
      <c r="P16" s="187">
        <f t="shared" si="5"/>
        <v>0</v>
      </c>
      <c r="Q16" s="155">
        <f>ROUND(P16*'RATES-Non Fed'!I38,0)</f>
        <v>0</v>
      </c>
      <c r="R16" s="67">
        <f t="shared" si="6"/>
        <v>0</v>
      </c>
      <c r="S16" s="187">
        <f t="shared" si="7"/>
        <v>0</v>
      </c>
      <c r="T16" s="155">
        <f>ROUND(S16*'RATES-Non Fed'!K38,0)</f>
        <v>0</v>
      </c>
      <c r="U16" s="67">
        <f t="shared" si="8"/>
        <v>0</v>
      </c>
      <c r="V16" s="187">
        <f t="shared" si="9"/>
        <v>0</v>
      </c>
      <c r="W16" s="155">
        <f>ROUND(V16*'RATES-Non Fed'!M38,0)</f>
        <v>0</v>
      </c>
      <c r="X16" s="67">
        <f t="shared" si="10"/>
        <v>0</v>
      </c>
      <c r="Y16" s="42">
        <f t="shared" si="11"/>
        <v>0</v>
      </c>
    </row>
    <row r="17" spans="1:26" ht="15.75">
      <c r="A17" s="1"/>
      <c r="B17" s="1" t="s">
        <v>15</v>
      </c>
      <c r="C17" s="3"/>
      <c r="D17" s="140" t="s">
        <v>126</v>
      </c>
      <c r="E17" s="70">
        <v>0</v>
      </c>
      <c r="F17" s="99">
        <f t="shared" si="0"/>
        <v>0</v>
      </c>
      <c r="G17" s="69">
        <v>0</v>
      </c>
      <c r="J17" s="187">
        <f t="shared" si="2"/>
        <v>0</v>
      </c>
      <c r="K17" s="155">
        <f>ROUND(J17*'RATES-Non Fed'!E38,0)</f>
        <v>0</v>
      </c>
      <c r="L17" s="67">
        <f t="shared" si="3"/>
        <v>0</v>
      </c>
      <c r="M17" s="187">
        <f t="shared" si="4"/>
        <v>0</v>
      </c>
      <c r="N17" s="155">
        <f>ROUND(M17*'RATES-Non Fed'!G38,0)</f>
        <v>0</v>
      </c>
      <c r="O17" s="67">
        <f t="shared" si="1"/>
        <v>0</v>
      </c>
      <c r="P17" s="187">
        <f t="shared" si="5"/>
        <v>0</v>
      </c>
      <c r="Q17" s="155">
        <f>ROUND(P17*'RATES-Non Fed'!I38,0)</f>
        <v>0</v>
      </c>
      <c r="R17" s="67">
        <f t="shared" si="6"/>
        <v>0</v>
      </c>
      <c r="S17" s="187">
        <f t="shared" si="7"/>
        <v>0</v>
      </c>
      <c r="T17" s="155">
        <f>ROUND(S17*'RATES-Non Fed'!K38,0)</f>
        <v>0</v>
      </c>
      <c r="U17" s="67">
        <f t="shared" si="8"/>
        <v>0</v>
      </c>
      <c r="V17" s="187">
        <f t="shared" si="9"/>
        <v>0</v>
      </c>
      <c r="W17" s="155">
        <f>ROUND(V17*'RATES-Non Fed'!M38,0)</f>
        <v>0</v>
      </c>
      <c r="X17" s="67">
        <f t="shared" si="10"/>
        <v>0</v>
      </c>
      <c r="Y17" s="42">
        <f t="shared" si="11"/>
        <v>0</v>
      </c>
      <c r="Z17" s="1"/>
    </row>
    <row r="18" spans="1:25" ht="15.75">
      <c r="A18" s="1"/>
      <c r="B18" s="1" t="s">
        <v>15</v>
      </c>
      <c r="C18" s="3"/>
      <c r="D18" s="140" t="s">
        <v>126</v>
      </c>
      <c r="E18" s="70">
        <v>0</v>
      </c>
      <c r="F18" s="99">
        <f t="shared" si="0"/>
        <v>0</v>
      </c>
      <c r="G18" s="69">
        <v>0</v>
      </c>
      <c r="J18" s="202">
        <f t="shared" si="2"/>
        <v>0</v>
      </c>
      <c r="K18" s="207">
        <f>ROUND(J18*'RATES-Non Fed'!E38,0)</f>
        <v>0</v>
      </c>
      <c r="L18" s="208">
        <f t="shared" si="3"/>
        <v>0</v>
      </c>
      <c r="M18" s="202">
        <f t="shared" si="4"/>
        <v>0</v>
      </c>
      <c r="N18" s="207">
        <f>ROUND(M18*'RATES-Non Fed'!G38,0)</f>
        <v>0</v>
      </c>
      <c r="O18" s="208">
        <f t="shared" si="1"/>
        <v>0</v>
      </c>
      <c r="P18" s="202">
        <f t="shared" si="5"/>
        <v>0</v>
      </c>
      <c r="Q18" s="207">
        <f>ROUND(P18*'RATES-Non Fed'!I38,0)</f>
        <v>0</v>
      </c>
      <c r="R18" s="208">
        <f t="shared" si="6"/>
        <v>0</v>
      </c>
      <c r="S18" s="202">
        <f t="shared" si="7"/>
        <v>0</v>
      </c>
      <c r="T18" s="207">
        <f>ROUND(S18*'RATES-Non Fed'!K38,0)</f>
        <v>0</v>
      </c>
      <c r="U18" s="208">
        <f t="shared" si="8"/>
        <v>0</v>
      </c>
      <c r="V18" s="202">
        <f t="shared" si="9"/>
        <v>0</v>
      </c>
      <c r="W18" s="207">
        <f>ROUND(V18*'RATES-Non Fed'!M38,0)</f>
        <v>0</v>
      </c>
      <c r="X18" s="208">
        <f t="shared" si="10"/>
        <v>0</v>
      </c>
      <c r="Y18" s="205">
        <f t="shared" si="11"/>
        <v>0</v>
      </c>
    </row>
    <row r="19" spans="1:26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6">
        <f aca="true" t="shared" si="12" ref="J19:X19">SUM(J11:J18)</f>
        <v>0</v>
      </c>
      <c r="K19" s="156">
        <f t="shared" si="12"/>
        <v>0</v>
      </c>
      <c r="L19" s="46">
        <f t="shared" si="12"/>
        <v>0</v>
      </c>
      <c r="M19" s="206">
        <f t="shared" si="12"/>
        <v>0</v>
      </c>
      <c r="N19" s="156">
        <f t="shared" si="12"/>
        <v>0</v>
      </c>
      <c r="O19" s="46">
        <f t="shared" si="12"/>
        <v>0</v>
      </c>
      <c r="P19" s="206">
        <f t="shared" si="12"/>
        <v>0</v>
      </c>
      <c r="Q19" s="156">
        <f t="shared" si="12"/>
        <v>0</v>
      </c>
      <c r="R19" s="46">
        <f t="shared" si="12"/>
        <v>0</v>
      </c>
      <c r="S19" s="206">
        <f t="shared" si="12"/>
        <v>0</v>
      </c>
      <c r="T19" s="156">
        <f t="shared" si="12"/>
        <v>0</v>
      </c>
      <c r="U19" s="46">
        <f t="shared" si="12"/>
        <v>0</v>
      </c>
      <c r="V19" s="206">
        <f t="shared" si="12"/>
        <v>0</v>
      </c>
      <c r="W19" s="156">
        <f t="shared" si="12"/>
        <v>0</v>
      </c>
      <c r="X19" s="46">
        <f t="shared" si="12"/>
        <v>0</v>
      </c>
      <c r="Y19" s="42">
        <f t="shared" si="11"/>
        <v>0</v>
      </c>
      <c r="Z19" s="6"/>
    </row>
    <row r="20" spans="1:24" ht="15.75">
      <c r="A20" s="21" t="s">
        <v>226</v>
      </c>
      <c r="B20" s="21" t="s">
        <v>227</v>
      </c>
      <c r="C20" s="1"/>
      <c r="D20" s="25"/>
      <c r="E20" s="26"/>
      <c r="F20" s="26"/>
      <c r="G20" s="1"/>
      <c r="H20" s="1"/>
      <c r="I20" s="1"/>
      <c r="J20" s="206"/>
      <c r="K20" s="156"/>
      <c r="L20" s="46"/>
      <c r="M20" s="42"/>
      <c r="N20" s="6"/>
      <c r="O20"/>
      <c r="Q20"/>
      <c r="R20"/>
      <c r="T20"/>
      <c r="U20"/>
      <c r="W20"/>
      <c r="X20"/>
    </row>
    <row r="21" spans="1:25" ht="15.75">
      <c r="A21" s="1"/>
      <c r="B21" s="1" t="s">
        <v>15</v>
      </c>
      <c r="C21" s="3"/>
      <c r="D21" s="140" t="s">
        <v>126</v>
      </c>
      <c r="E21" s="70">
        <v>0</v>
      </c>
      <c r="F21" s="99">
        <f>IF(D21="CAL",(52*E21/4.3333),(IF(D21="ACAD",(32*E21/4.33333),IF(D21="SUMR",(14*E21/4.33333),IF(D21="PT",(0),0)))))</f>
        <v>0</v>
      </c>
      <c r="G21" s="69">
        <v>0</v>
      </c>
      <c r="J21" s="187">
        <f>ROUND(G21*E21,0)</f>
        <v>0</v>
      </c>
      <c r="K21" s="155">
        <f>ROUND(J21*'RATES-Non Fed'!E40,0)</f>
        <v>0</v>
      </c>
      <c r="L21" s="67">
        <f>ROUND(K21+J21,0)</f>
        <v>0</v>
      </c>
      <c r="M21" s="187">
        <f>ROUND((J21*1.02),0)</f>
        <v>0</v>
      </c>
      <c r="N21" s="155">
        <f>ROUND(M21*'RATES-Non Fed'!G40,0)</f>
        <v>0</v>
      </c>
      <c r="O21" s="67">
        <f>ROUND(M21+N21,0)</f>
        <v>0</v>
      </c>
      <c r="P21" s="187">
        <f>ROUND((M21*1.02),0)</f>
        <v>0</v>
      </c>
      <c r="Q21" s="155">
        <f>ROUND(P21*'RATES-Non Fed'!I40,0)</f>
        <v>0</v>
      </c>
      <c r="R21" s="67">
        <f>ROUND(P21+Q21,0)</f>
        <v>0</v>
      </c>
      <c r="S21" s="187">
        <f>ROUND((P21*1.02),0)</f>
        <v>0</v>
      </c>
      <c r="T21" s="155">
        <f>ROUND(S21*'RATES-Non Fed'!K40,0)</f>
        <v>0</v>
      </c>
      <c r="U21" s="76">
        <f>SUM(S21:T21)</f>
        <v>0</v>
      </c>
      <c r="V21" s="187">
        <f>ROUND((S21*1.02),0)</f>
        <v>0</v>
      </c>
      <c r="W21" s="155">
        <f>ROUND(V21*'RATES-Non Fed'!M40,0)</f>
        <v>0</v>
      </c>
      <c r="X21" s="76">
        <f>SUM(V21:W21)</f>
        <v>0</v>
      </c>
      <c r="Y21" s="42">
        <f>SUM(L21+O21+R21+U21+X21)</f>
        <v>0</v>
      </c>
    </row>
    <row r="22" spans="1:25" ht="15.75">
      <c r="A22" s="1"/>
      <c r="B22" s="1" t="s">
        <v>15</v>
      </c>
      <c r="C22" s="3"/>
      <c r="D22" s="140" t="s">
        <v>126</v>
      </c>
      <c r="E22" s="70">
        <v>0</v>
      </c>
      <c r="F22" s="99">
        <f>IF(D22="CAL",(52*E22/4.3333),(IF(D22="ACAD",(32*E22/4.33333),IF(D22="SUMR",(14*E22/4.33333),IF(D22="PT",(0),0)))))</f>
        <v>0</v>
      </c>
      <c r="G22" s="69">
        <v>0</v>
      </c>
      <c r="J22" s="187">
        <f>ROUND(G22*E22,0)</f>
        <v>0</v>
      </c>
      <c r="K22" s="155">
        <f>ROUND(J22*'RATES-Non Fed'!E40,0)</f>
        <v>0</v>
      </c>
      <c r="L22" s="67">
        <f>ROUND(K22+J22,0)</f>
        <v>0</v>
      </c>
      <c r="M22" s="187">
        <f>ROUND((J22*1.02),0)</f>
        <v>0</v>
      </c>
      <c r="N22" s="155">
        <f>ROUND(M22*'RATES-Non Fed'!G40,0)</f>
        <v>0</v>
      </c>
      <c r="O22" s="67">
        <f>ROUND(M22+N22,0)</f>
        <v>0</v>
      </c>
      <c r="P22" s="187">
        <f>ROUND((M22*1.02),0)</f>
        <v>0</v>
      </c>
      <c r="Q22" s="155">
        <f>ROUND(P22*'RATES-Non Fed'!I40,0)</f>
        <v>0</v>
      </c>
      <c r="R22" s="67">
        <f>ROUND(P22+Q22,0)</f>
        <v>0</v>
      </c>
      <c r="S22" s="187">
        <f>ROUND((P22*1.02),0)</f>
        <v>0</v>
      </c>
      <c r="T22" s="155">
        <f>ROUND(S22*'RATES-Non Fed'!K40,0)</f>
        <v>0</v>
      </c>
      <c r="U22" s="76">
        <f>SUM(S22:T22)</f>
        <v>0</v>
      </c>
      <c r="V22" s="187">
        <f>ROUND((S22*1.02),0)</f>
        <v>0</v>
      </c>
      <c r="W22" s="155">
        <f>ROUND(V22*'RATES-Non Fed'!M40,0)</f>
        <v>0</v>
      </c>
      <c r="X22" s="76">
        <f>SUM(V22:W22)</f>
        <v>0</v>
      </c>
      <c r="Y22" s="42">
        <f>SUM(L22+O22+R22+U22+X22)</f>
        <v>0</v>
      </c>
    </row>
    <row r="23" spans="1:25" ht="15.75">
      <c r="A23" s="1"/>
      <c r="B23" s="1" t="s">
        <v>15</v>
      </c>
      <c r="C23" s="3"/>
      <c r="D23" s="140" t="s">
        <v>126</v>
      </c>
      <c r="E23" s="70">
        <v>0</v>
      </c>
      <c r="F23" s="99">
        <f>IF(D23="CAL",(52*E23/4.3333),(IF(D23="ACAD",(32*E23/4.33333),IF(D23="SUMR",(14*E23/4.33333),IF(D23="PT",(0),0)))))</f>
        <v>0</v>
      </c>
      <c r="G23" s="69">
        <v>0</v>
      </c>
      <c r="J23" s="187">
        <f>ROUND(G23*E23,0)</f>
        <v>0</v>
      </c>
      <c r="K23" s="155">
        <f>ROUND(J23*'RATES-Non Fed'!E40,0)</f>
        <v>0</v>
      </c>
      <c r="L23" s="67">
        <f>ROUND(K23+J23,0)</f>
        <v>0</v>
      </c>
      <c r="M23" s="187">
        <f>ROUND((J23*1.02),0)</f>
        <v>0</v>
      </c>
      <c r="N23" s="155">
        <f>ROUND(M23*'RATES-Non Fed'!G40,0)</f>
        <v>0</v>
      </c>
      <c r="O23" s="67">
        <f>ROUND(M23+N23,0)</f>
        <v>0</v>
      </c>
      <c r="P23" s="187">
        <f>ROUND((M23*1.02),0)</f>
        <v>0</v>
      </c>
      <c r="Q23" s="155">
        <f>ROUND(P23*'RATES-Non Fed'!I40,0)</f>
        <v>0</v>
      </c>
      <c r="R23" s="67">
        <f>ROUND(P23+Q23,0)</f>
        <v>0</v>
      </c>
      <c r="S23" s="187">
        <f>ROUND((P23*1.02),0)</f>
        <v>0</v>
      </c>
      <c r="T23" s="155">
        <f>ROUND(S23*'RATES-Non Fed'!K40,0)</f>
        <v>0</v>
      </c>
      <c r="U23" s="76">
        <f>SUM(S23:T23)</f>
        <v>0</v>
      </c>
      <c r="V23" s="187">
        <f>ROUND((S23*1.02),0)</f>
        <v>0</v>
      </c>
      <c r="W23" s="155">
        <f>ROUND(V23*'RATES-Non Fed'!M40,0)</f>
        <v>0</v>
      </c>
      <c r="X23" s="76">
        <f>SUM(V23:W23)</f>
        <v>0</v>
      </c>
      <c r="Y23" s="42">
        <f>SUM(L23+O23+R23+U23+X23)</f>
        <v>0</v>
      </c>
    </row>
    <row r="24" spans="1:25" ht="15.75">
      <c r="A24" s="1"/>
      <c r="B24" s="1" t="s">
        <v>15</v>
      </c>
      <c r="C24" s="3"/>
      <c r="D24" s="140" t="s">
        <v>126</v>
      </c>
      <c r="E24" s="70">
        <v>0</v>
      </c>
      <c r="F24" s="99">
        <f>IF(D24="CAL",(52*E24/4.3333),(IF(D24="ACAD",(32*E24/4.33333),IF(D24="SUMR",(14*E24/4.33333),IF(D24="PT",(0),0)))))</f>
        <v>0</v>
      </c>
      <c r="G24" s="69">
        <v>0</v>
      </c>
      <c r="J24" s="187">
        <f>ROUND(G24*E24,0)</f>
        <v>0</v>
      </c>
      <c r="K24" s="207">
        <f>ROUND(J24*'RATES-Non Fed'!E40,0)</f>
        <v>0</v>
      </c>
      <c r="L24" s="208">
        <f>ROUND(K24+J24,0)</f>
        <v>0</v>
      </c>
      <c r="M24" s="202">
        <f>ROUND((J24*1.02),0)</f>
        <v>0</v>
      </c>
      <c r="N24" s="207">
        <f>ROUND(M24*'RATES-Non Fed'!G40,0)</f>
        <v>0</v>
      </c>
      <c r="O24" s="208">
        <f>ROUND(M24+N24,0)</f>
        <v>0</v>
      </c>
      <c r="P24" s="202">
        <f>ROUND((M24*1.02),0)</f>
        <v>0</v>
      </c>
      <c r="Q24" s="207">
        <f>ROUND(P24*'RATES-Non Fed'!I40,0)</f>
        <v>0</v>
      </c>
      <c r="R24" s="208">
        <f>ROUND(P24+Q24,0)</f>
        <v>0</v>
      </c>
      <c r="S24" s="202">
        <f>ROUND((P24*1.02),0)</f>
        <v>0</v>
      </c>
      <c r="T24" s="207">
        <f>ROUND(S24*'RATES-Non Fed'!K40,0)</f>
        <v>0</v>
      </c>
      <c r="U24" s="257">
        <f>SUM(S24:T24)</f>
        <v>0</v>
      </c>
      <c r="V24" s="202">
        <f>ROUND((S24*1.02),0)</f>
        <v>0</v>
      </c>
      <c r="W24" s="207">
        <f>ROUND(V24*'RATES-Non Fed'!M40,0)</f>
        <v>0</v>
      </c>
      <c r="X24" s="257">
        <f>SUM(V24:W24)</f>
        <v>0</v>
      </c>
      <c r="Y24" s="205">
        <f>SUM(L24+O24+R24+U24+X24)</f>
        <v>0</v>
      </c>
    </row>
    <row r="25" spans="1:25" ht="15.75">
      <c r="A25" s="1"/>
      <c r="B25" s="1"/>
      <c r="C25" s="1"/>
      <c r="D25" s="25" t="s">
        <v>231</v>
      </c>
      <c r="E25" s="26"/>
      <c r="F25" s="26"/>
      <c r="G25" s="1"/>
      <c r="H25" s="1"/>
      <c r="I25" s="1"/>
      <c r="J25" s="191">
        <f aca="true" t="shared" si="13" ref="J25:Y25">SUM(J21:J24)</f>
        <v>0</v>
      </c>
      <c r="K25" s="156">
        <f t="shared" si="13"/>
        <v>0</v>
      </c>
      <c r="L25" s="46">
        <f t="shared" si="13"/>
        <v>0</v>
      </c>
      <c r="M25" s="76">
        <f t="shared" si="13"/>
        <v>0</v>
      </c>
      <c r="N25" s="6">
        <f t="shared" si="13"/>
        <v>0</v>
      </c>
      <c r="O25" s="76">
        <f t="shared" si="13"/>
        <v>0</v>
      </c>
      <c r="P25" s="42">
        <f t="shared" si="13"/>
        <v>0</v>
      </c>
      <c r="Q25" s="42">
        <f t="shared" si="13"/>
        <v>0</v>
      </c>
      <c r="R25" s="76">
        <f t="shared" si="13"/>
        <v>0</v>
      </c>
      <c r="S25" s="42">
        <f t="shared" si="13"/>
        <v>0</v>
      </c>
      <c r="T25" s="42">
        <f t="shared" si="13"/>
        <v>0</v>
      </c>
      <c r="U25" s="76">
        <f t="shared" si="13"/>
        <v>0</v>
      </c>
      <c r="V25" s="76">
        <f t="shared" si="13"/>
        <v>0</v>
      </c>
      <c r="W25" s="42">
        <f t="shared" si="13"/>
        <v>0</v>
      </c>
      <c r="X25" s="259">
        <f t="shared" si="13"/>
        <v>0</v>
      </c>
      <c r="Y25" s="260">
        <f t="shared" si="13"/>
        <v>0</v>
      </c>
    </row>
    <row r="26" spans="1:25" ht="7.5" customHeight="1">
      <c r="A26" s="1"/>
      <c r="B26" s="1"/>
      <c r="C26" s="1"/>
      <c r="D26" s="26"/>
      <c r="E26" s="26"/>
      <c r="F26" s="26"/>
      <c r="G26" s="1"/>
      <c r="H26" s="1"/>
      <c r="I26" s="1"/>
      <c r="J26" s="192"/>
      <c r="K26" s="156"/>
      <c r="L26" s="46"/>
      <c r="M26" s="186"/>
      <c r="N26" s="156"/>
      <c r="O26" s="46"/>
      <c r="P26" s="186"/>
      <c r="Q26" s="156"/>
      <c r="R26" s="46"/>
      <c r="T26" s="6"/>
      <c r="U26"/>
      <c r="W26"/>
      <c r="X26"/>
      <c r="Y26" s="42"/>
    </row>
    <row r="27" spans="1:25" ht="15.75">
      <c r="A27" s="22" t="s">
        <v>228</v>
      </c>
      <c r="B27" s="22" t="s">
        <v>17</v>
      </c>
      <c r="C27" s="1"/>
      <c r="D27" s="26"/>
      <c r="E27" s="1"/>
      <c r="F27" s="1"/>
      <c r="G27" s="41"/>
      <c r="H27" s="1"/>
      <c r="I27" s="1"/>
      <c r="J27" s="190"/>
      <c r="K27" s="152"/>
      <c r="L27" s="142"/>
      <c r="M27" s="190"/>
      <c r="N27" s="156"/>
      <c r="O27" s="46"/>
      <c r="P27" s="190"/>
      <c r="Q27" s="156"/>
      <c r="R27" s="46"/>
      <c r="T27" s="6"/>
      <c r="U27"/>
      <c r="W27"/>
      <c r="X27"/>
      <c r="Y27" s="42"/>
    </row>
    <row r="28" spans="1:24" ht="15.75">
      <c r="A28" s="1"/>
      <c r="C28" s="13" t="s">
        <v>86</v>
      </c>
      <c r="D28" s="41" t="s">
        <v>123</v>
      </c>
      <c r="E28" s="68"/>
      <c r="F28" s="68"/>
      <c r="G28" s="59"/>
      <c r="J28" s="187"/>
      <c r="K28" s="244"/>
      <c r="L28" s="50"/>
      <c r="M28" s="187"/>
      <c r="N28" s="245"/>
      <c r="O28" s="147"/>
      <c r="P28" s="187"/>
      <c r="Q28" s="245"/>
      <c r="R28" s="147"/>
      <c r="T28" s="5"/>
      <c r="U28"/>
      <c r="W28"/>
      <c r="X28"/>
    </row>
    <row r="29" spans="1:25" ht="15.75">
      <c r="A29" s="1"/>
      <c r="C29" s="13"/>
      <c r="D29" s="97"/>
      <c r="E29" s="70">
        <v>0</v>
      </c>
      <c r="F29" s="98">
        <f>SUM(52*E29/4.33)</f>
        <v>0</v>
      </c>
      <c r="G29" s="69">
        <v>0</v>
      </c>
      <c r="J29" s="187">
        <f>ROUND(G29*E29,0)</f>
        <v>0</v>
      </c>
      <c r="K29" s="244">
        <f>ROUND(J29*'RATES-Non Fed'!E39,0)</f>
        <v>0</v>
      </c>
      <c r="L29" s="50">
        <f>SUM(J29:K29)</f>
        <v>0</v>
      </c>
      <c r="M29" s="187">
        <f>ROUND(J29*1.02,0)</f>
        <v>0</v>
      </c>
      <c r="N29" s="244">
        <f>ROUND(M29*'RATES-Non Fed'!G39,0)</f>
        <v>0</v>
      </c>
      <c r="O29" s="50">
        <f>SUM(M29:N29)</f>
        <v>0</v>
      </c>
      <c r="P29" s="187">
        <f>ROUND(M29*1.02,0)</f>
        <v>0</v>
      </c>
      <c r="Q29" s="244">
        <f>ROUND(P29*'RATES-Non Fed'!I39,0)</f>
        <v>0</v>
      </c>
      <c r="R29" s="50">
        <f>SUM(P29:Q29)</f>
        <v>0</v>
      </c>
      <c r="S29" s="187">
        <f>ROUND(P29*1.02,0)</f>
        <v>0</v>
      </c>
      <c r="T29" s="244">
        <f>ROUND(S29*'RATES-Non Fed'!K39,0)</f>
        <v>0</v>
      </c>
      <c r="U29" s="50">
        <f>SUM(S29:T29)</f>
        <v>0</v>
      </c>
      <c r="V29" s="187">
        <f>ROUND(S29*1.02,0)</f>
        <v>0</v>
      </c>
      <c r="W29" s="244">
        <f>ROUND(V29*'RATES-Non Fed'!M39,0)</f>
        <v>0</v>
      </c>
      <c r="X29" s="50">
        <f>SUM(V29:W29)</f>
        <v>0</v>
      </c>
      <c r="Y29" s="42">
        <f>SUM(L29+O29+R29+U29)</f>
        <v>0</v>
      </c>
    </row>
    <row r="30" spans="1:25" ht="15.75">
      <c r="A30" s="1"/>
      <c r="C30" s="13"/>
      <c r="D30" s="1"/>
      <c r="E30" s="70">
        <v>0</v>
      </c>
      <c r="F30" s="98">
        <f>SUM(52*E30/4.33)</f>
        <v>0</v>
      </c>
      <c r="G30" s="69">
        <v>0</v>
      </c>
      <c r="J30" s="187">
        <f>ROUND(G30*E30,0)</f>
        <v>0</v>
      </c>
      <c r="K30" s="244">
        <f>ROUND(J30*'RATES-Non Fed'!E39,0)</f>
        <v>0</v>
      </c>
      <c r="L30" s="50">
        <f>SUM(J30:K30)</f>
        <v>0</v>
      </c>
      <c r="M30" s="187">
        <f>ROUND(J30*1.02,0)</f>
        <v>0</v>
      </c>
      <c r="N30" s="244">
        <f>ROUND(M30*'RATES-Non Fed'!G39,0)</f>
        <v>0</v>
      </c>
      <c r="O30" s="50">
        <f>SUM(M30:N30)</f>
        <v>0</v>
      </c>
      <c r="P30" s="187">
        <f>ROUND(M30*1.02,0)</f>
        <v>0</v>
      </c>
      <c r="Q30" s="244">
        <f>ROUND(P30*'RATES-Non Fed'!I39,0)</f>
        <v>0</v>
      </c>
      <c r="R30" s="50">
        <f>SUM(P30:Q30)</f>
        <v>0</v>
      </c>
      <c r="S30" s="187">
        <f>ROUND(P30*1.02,0)</f>
        <v>0</v>
      </c>
      <c r="T30" s="244">
        <f>ROUND(S30*'RATES-Non Fed'!K39,0)</f>
        <v>0</v>
      </c>
      <c r="U30" s="50">
        <f>SUM(S30:T30)</f>
        <v>0</v>
      </c>
      <c r="V30" s="187">
        <f>ROUND(S30*1.02,0)</f>
        <v>0</v>
      </c>
      <c r="W30" s="244">
        <f>ROUND(V30*'RATES-Non Fed'!M39,0)</f>
        <v>0</v>
      </c>
      <c r="X30" s="50">
        <f>SUM(V30:W30)</f>
        <v>0</v>
      </c>
      <c r="Y30" s="42">
        <f>SUM(L30+O30+R30+U30)</f>
        <v>0</v>
      </c>
    </row>
    <row r="31" spans="1:25" ht="15.75">
      <c r="A31" s="1"/>
      <c r="C31" s="13"/>
      <c r="D31" s="1"/>
      <c r="E31" s="70">
        <v>0</v>
      </c>
      <c r="F31" s="98">
        <f>SUM(52*E31/4.33)</f>
        <v>0</v>
      </c>
      <c r="G31" s="69">
        <v>0</v>
      </c>
      <c r="J31" s="202">
        <f>ROUND(G31*E31,0)</f>
        <v>0</v>
      </c>
      <c r="K31" s="203">
        <f>ROUND(J31*'RATES-Non Fed'!E39,0)</f>
        <v>0</v>
      </c>
      <c r="L31" s="204">
        <f>SUM(J31:K31)</f>
        <v>0</v>
      </c>
      <c r="M31" s="202">
        <f>ROUND(J31*1.02,0)</f>
        <v>0</v>
      </c>
      <c r="N31" s="203">
        <f>ROUND(M31*'RATES-Non Fed'!G39,0)</f>
        <v>0</v>
      </c>
      <c r="O31" s="204">
        <f>SUM(M31:N31)</f>
        <v>0</v>
      </c>
      <c r="P31" s="202">
        <f>ROUND(M31*1.02,0)</f>
        <v>0</v>
      </c>
      <c r="Q31" s="203">
        <f>ROUND(P31*'RATES-Non Fed'!I39,0)</f>
        <v>0</v>
      </c>
      <c r="R31" s="204">
        <f>SUM(P31:Q31)</f>
        <v>0</v>
      </c>
      <c r="S31" s="202">
        <f>ROUND(P31*1.02,0)</f>
        <v>0</v>
      </c>
      <c r="T31" s="203">
        <f>ROUND(S31*'RATES-Non Fed'!K39,0)</f>
        <v>0</v>
      </c>
      <c r="U31" s="204">
        <f>SUM(S31:T31)</f>
        <v>0</v>
      </c>
      <c r="V31" s="202">
        <f>ROUND(S31*1.02,0)</f>
        <v>0</v>
      </c>
      <c r="W31" s="203">
        <f>ROUND(V31*'RATES-Non Fed'!M39,0)</f>
        <v>0</v>
      </c>
      <c r="X31" s="204">
        <f>SUM(V31:W31)</f>
        <v>0</v>
      </c>
      <c r="Y31" s="205">
        <f>SUM(L31+O31+R31+U31)</f>
        <v>0</v>
      </c>
    </row>
    <row r="32" spans="1:25" ht="15.75">
      <c r="A32" s="1"/>
      <c r="C32" s="13"/>
      <c r="D32" s="1" t="s">
        <v>124</v>
      </c>
      <c r="E32" s="70"/>
      <c r="F32" s="70"/>
      <c r="G32" s="69"/>
      <c r="J32" s="193">
        <f aca="true" t="shared" si="14" ref="J32:U32">SUM(J29:J31)</f>
        <v>0</v>
      </c>
      <c r="K32" s="244">
        <f t="shared" si="14"/>
        <v>0</v>
      </c>
      <c r="L32" s="50">
        <f t="shared" si="14"/>
        <v>0</v>
      </c>
      <c r="M32" s="193">
        <f t="shared" si="14"/>
        <v>0</v>
      </c>
      <c r="N32" s="245">
        <f t="shared" si="14"/>
        <v>0</v>
      </c>
      <c r="O32" s="147">
        <f t="shared" si="14"/>
        <v>0</v>
      </c>
      <c r="P32" s="193">
        <f t="shared" si="14"/>
        <v>0</v>
      </c>
      <c r="Q32" s="245">
        <f t="shared" si="14"/>
        <v>0</v>
      </c>
      <c r="R32" s="147">
        <f t="shared" si="14"/>
        <v>0</v>
      </c>
      <c r="S32" s="193">
        <f t="shared" si="14"/>
        <v>0</v>
      </c>
      <c r="T32" s="245">
        <f t="shared" si="14"/>
        <v>0</v>
      </c>
      <c r="U32" s="147">
        <f t="shared" si="14"/>
        <v>0</v>
      </c>
      <c r="V32" s="193">
        <f>SUM(V29:V31)</f>
        <v>0</v>
      </c>
      <c r="W32" s="245">
        <f>SUM(W29:W31)</f>
        <v>0</v>
      </c>
      <c r="X32" s="147">
        <f>SUM(X29:X31)</f>
        <v>0</v>
      </c>
      <c r="Y32" s="42">
        <f>SUM(Y29:Y31)</f>
        <v>0</v>
      </c>
    </row>
    <row r="33" spans="1:25" ht="9.75" customHeight="1">
      <c r="A33" s="1"/>
      <c r="C33" s="13"/>
      <c r="D33" s="1"/>
      <c r="E33" s="70"/>
      <c r="F33" s="70"/>
      <c r="G33" s="69"/>
      <c r="J33" s="193"/>
      <c r="K33" s="244"/>
      <c r="L33" s="50"/>
      <c r="M33" s="193"/>
      <c r="N33" s="245"/>
      <c r="O33" s="147"/>
      <c r="P33" s="193"/>
      <c r="Q33" s="245"/>
      <c r="R33" s="147"/>
      <c r="T33" s="5"/>
      <c r="U33"/>
      <c r="W33"/>
      <c r="X33"/>
      <c r="Y33" s="42"/>
    </row>
    <row r="34" spans="1:25" ht="15.75">
      <c r="A34" s="1"/>
      <c r="C34" s="13" t="s">
        <v>87</v>
      </c>
      <c r="D34" s="1"/>
      <c r="E34" s="70">
        <v>0</v>
      </c>
      <c r="F34" s="98">
        <f>SUM(52*E34/4.33)</f>
        <v>0</v>
      </c>
      <c r="G34" s="69">
        <v>0</v>
      </c>
      <c r="J34" s="187">
        <f>ROUND(G34*E34,0)</f>
        <v>0</v>
      </c>
      <c r="K34" s="244">
        <f>ROUND(J34*'RATES-Non Fed'!E43,0)</f>
        <v>0</v>
      </c>
      <c r="L34" s="50">
        <f>SUM(J34:K34)</f>
        <v>0</v>
      </c>
      <c r="M34" s="187">
        <f>ROUND((J34*1.02),0)</f>
        <v>0</v>
      </c>
      <c r="N34" s="244">
        <f>ROUND(M34*'RATES-Non Fed'!G43,0)</f>
        <v>0</v>
      </c>
      <c r="O34" s="50">
        <f>SUM(M34:N34)</f>
        <v>0</v>
      </c>
      <c r="P34" s="187">
        <f>ROUND((M34*1.02),0)</f>
        <v>0</v>
      </c>
      <c r="Q34" s="244">
        <f>ROUND(P34*'RATES-Non Fed'!I43,0)</f>
        <v>0</v>
      </c>
      <c r="R34" s="50">
        <f>SUM(P34:Q34)</f>
        <v>0</v>
      </c>
      <c r="S34" s="187">
        <f>ROUND((P34*1.02),0)</f>
        <v>0</v>
      </c>
      <c r="T34" s="244">
        <f>ROUND(S34*'RATES-Non Fed'!K43,0)</f>
        <v>0</v>
      </c>
      <c r="U34" s="50">
        <f>SUM(S34:T34)</f>
        <v>0</v>
      </c>
      <c r="V34" s="187">
        <f>ROUND((S34*1.02),0)</f>
        <v>0</v>
      </c>
      <c r="W34" s="244">
        <f>ROUND(V34*'RATES-Non Fed'!M43,0)</f>
        <v>0</v>
      </c>
      <c r="X34" s="50">
        <f>SUM(V34:W34)</f>
        <v>0</v>
      </c>
      <c r="Y34" s="42">
        <f>SUM(L34+O34+R34+U34)</f>
        <v>0</v>
      </c>
    </row>
    <row r="35" spans="1:25" ht="15.75">
      <c r="A35" s="1"/>
      <c r="C35" s="13" t="s">
        <v>18</v>
      </c>
      <c r="D35" s="1"/>
      <c r="E35" s="70">
        <v>0</v>
      </c>
      <c r="F35" s="98">
        <f>SUM(52*E35/4.33)</f>
        <v>0</v>
      </c>
      <c r="G35" s="69">
        <v>0</v>
      </c>
      <c r="J35" s="187">
        <f>ROUND(G35*E35,0)</f>
        <v>0</v>
      </c>
      <c r="K35" s="244">
        <f>ROUND(J35*'RATES-Non Fed'!E42,0)</f>
        <v>0</v>
      </c>
      <c r="L35" s="50">
        <f>SUM(J35:K35)</f>
        <v>0</v>
      </c>
      <c r="M35" s="187">
        <f>ROUND((J35*1.02),0)</f>
        <v>0</v>
      </c>
      <c r="N35" s="244">
        <f>ROUND(M35*'RATES-Non Fed'!G42,0)</f>
        <v>0</v>
      </c>
      <c r="O35" s="50">
        <f>SUM(M35:N35)</f>
        <v>0</v>
      </c>
      <c r="P35" s="187">
        <f>ROUND((M35*1.02),0)</f>
        <v>0</v>
      </c>
      <c r="Q35" s="244">
        <f>ROUND(P35*'RATES-Non Fed'!I42,0)</f>
        <v>0</v>
      </c>
      <c r="R35" s="50">
        <f>SUM(P35:Q35)</f>
        <v>0</v>
      </c>
      <c r="S35" s="187">
        <f>ROUND((P35*1.02),0)</f>
        <v>0</v>
      </c>
      <c r="T35" s="244">
        <f>ROUND(S35*'RATES-Non Fed'!K42,0)</f>
        <v>0</v>
      </c>
      <c r="U35" s="50">
        <f>SUM(S35:T35)</f>
        <v>0</v>
      </c>
      <c r="V35" s="187">
        <f>ROUND((S35*1.02),0)</f>
        <v>0</v>
      </c>
      <c r="W35" s="244">
        <f>ROUND(V35*'RATES-Non Fed'!M42,0)</f>
        <v>0</v>
      </c>
      <c r="X35" s="50">
        <f>SUM(V35:W35)</f>
        <v>0</v>
      </c>
      <c r="Y35" s="42">
        <f>SUM(L35+O35+R35+U35)</f>
        <v>0</v>
      </c>
    </row>
    <row r="36" spans="1:25" ht="15.75">
      <c r="A36" s="1"/>
      <c r="C36" s="13" t="s">
        <v>19</v>
      </c>
      <c r="D36" s="1"/>
      <c r="E36" s="70">
        <v>0</v>
      </c>
      <c r="F36" s="98">
        <f>SUM(52*E36/4.33)</f>
        <v>0</v>
      </c>
      <c r="G36" s="69">
        <v>0</v>
      </c>
      <c r="J36" s="187">
        <f>ROUND(G36*E36,0)</f>
        <v>0</v>
      </c>
      <c r="K36" s="244">
        <f>ROUND(J36*'RATES-Non Fed'!E42,0)</f>
        <v>0</v>
      </c>
      <c r="L36" s="50">
        <f>SUM(J36:K36)</f>
        <v>0</v>
      </c>
      <c r="M36" s="187">
        <f>ROUND((J36*1.02),0)</f>
        <v>0</v>
      </c>
      <c r="N36" s="244">
        <f>ROUND(M36*'RATES-Non Fed'!G42,0)</f>
        <v>0</v>
      </c>
      <c r="O36" s="50">
        <f>SUM(M36:N36)</f>
        <v>0</v>
      </c>
      <c r="P36" s="187">
        <f>ROUND((M36*1.02),0)</f>
        <v>0</v>
      </c>
      <c r="Q36" s="244">
        <f>ROUND(P36*'RATES-Non Fed'!I42,0)</f>
        <v>0</v>
      </c>
      <c r="R36" s="50">
        <f>SUM(P36:Q36)</f>
        <v>0</v>
      </c>
      <c r="S36" s="187">
        <f>ROUND((P36*1.02),0)</f>
        <v>0</v>
      </c>
      <c r="T36" s="244">
        <f>ROUND(S36*'RATES-Non Fed'!K42,0)</f>
        <v>0</v>
      </c>
      <c r="U36" s="50">
        <f>SUM(S36:T36)</f>
        <v>0</v>
      </c>
      <c r="V36" s="187">
        <f>ROUND((S36*1.02),0)</f>
        <v>0</v>
      </c>
      <c r="W36" s="244">
        <f>ROUND(V36*'RATES-Non Fed'!M42,0)</f>
        <v>0</v>
      </c>
      <c r="X36" s="50">
        <f>SUM(V36:W36)</f>
        <v>0</v>
      </c>
      <c r="Y36" s="42">
        <f>SUM(L36+O36+R36+U36)</f>
        <v>0</v>
      </c>
    </row>
    <row r="37" spans="1:25" s="94" customFormat="1" ht="15.75">
      <c r="A37" s="142"/>
      <c r="C37" s="141" t="s">
        <v>20</v>
      </c>
      <c r="D37" s="142"/>
      <c r="E37" s="70">
        <v>0</v>
      </c>
      <c r="F37" s="98">
        <f>SUM(52*E37/4.33)</f>
        <v>0</v>
      </c>
      <c r="G37" s="69">
        <v>0</v>
      </c>
      <c r="J37" s="187">
        <f>ROUND(G37*E37,0)</f>
        <v>0</v>
      </c>
      <c r="K37" s="244">
        <f>ROUND(J37*'RATES-Non Fed'!E43,0)</f>
        <v>0</v>
      </c>
      <c r="L37" s="50">
        <f>SUM(J37:K37)</f>
        <v>0</v>
      </c>
      <c r="M37" s="187">
        <f>ROUND((J37*1.02),0)</f>
        <v>0</v>
      </c>
      <c r="N37" s="244">
        <f>ROUND(M37*'RATES-Non Fed'!G43,0)</f>
        <v>0</v>
      </c>
      <c r="O37" s="50">
        <f>SUM(M37:N37)</f>
        <v>0</v>
      </c>
      <c r="P37" s="187">
        <f>ROUND((M37*1.02),0)</f>
        <v>0</v>
      </c>
      <c r="Q37" s="244">
        <f>ROUND(P37*'RATES-Non Fed'!I43,0)</f>
        <v>0</v>
      </c>
      <c r="R37" s="50">
        <f>SUM(P37:Q37)</f>
        <v>0</v>
      </c>
      <c r="S37" s="187">
        <f>ROUND((P37*1.02),0)</f>
        <v>0</v>
      </c>
      <c r="T37" s="244">
        <f>ROUND(S37*'RATES-Non Fed'!K43,0)</f>
        <v>0</v>
      </c>
      <c r="U37" s="50">
        <f>SUM(S37:T37)</f>
        <v>0</v>
      </c>
      <c r="V37" s="187">
        <f>ROUND((S37*1.02),0)</f>
        <v>0</v>
      </c>
      <c r="W37" s="244">
        <f>ROUND(V37*'RATES-Non Fed'!M43,0)</f>
        <v>0</v>
      </c>
      <c r="X37" s="50">
        <f>SUM(V37:W37)</f>
        <v>0</v>
      </c>
      <c r="Y37" s="42">
        <f>SUM(L37+O37+R37+U37)</f>
        <v>0</v>
      </c>
    </row>
    <row r="38" spans="1:25" s="94" customFormat="1" ht="15.75">
      <c r="A38" s="142"/>
      <c r="C38" s="141" t="s">
        <v>88</v>
      </c>
      <c r="D38" s="142"/>
      <c r="E38" s="70">
        <v>0</v>
      </c>
      <c r="F38" s="98">
        <f>SUM(52*E38/4.33)</f>
        <v>0</v>
      </c>
      <c r="G38" s="69">
        <v>0</v>
      </c>
      <c r="J38" s="202">
        <f>ROUND(G38*E38,0)</f>
        <v>0</v>
      </c>
      <c r="K38" s="203">
        <f>ROUND(J38*'RATES-Non Fed'!E41,0)</f>
        <v>0</v>
      </c>
      <c r="L38" s="204">
        <f>SUM(J38:K38)</f>
        <v>0</v>
      </c>
      <c r="M38" s="202">
        <f>ROUND((J38*1.02),0)</f>
        <v>0</v>
      </c>
      <c r="N38" s="210">
        <f>ROUND(M38*'RATES-Non Fed'!G41,0)</f>
        <v>0</v>
      </c>
      <c r="O38" s="204">
        <f>SUM(M38:N38)</f>
        <v>0</v>
      </c>
      <c r="P38" s="202">
        <f>ROUND((M38*1.02),0)</f>
        <v>0</v>
      </c>
      <c r="Q38" s="210">
        <f>ROUND(P38*'RATES-Non Fed'!I41,0)</f>
        <v>0</v>
      </c>
      <c r="R38" s="204">
        <f>SUM(P38:Q38)</f>
        <v>0</v>
      </c>
      <c r="S38" s="202">
        <f>ROUND((P38*1.02),0)</f>
        <v>0</v>
      </c>
      <c r="T38" s="210">
        <f>ROUND(S38*'RATES-Non Fed'!K41,0)</f>
        <v>0</v>
      </c>
      <c r="U38" s="204">
        <f>SUM(S38:T38)</f>
        <v>0</v>
      </c>
      <c r="V38" s="202">
        <f>ROUND((S38*1.02),0)</f>
        <v>0</v>
      </c>
      <c r="W38" s="210">
        <f>ROUND(V38*'RATES-Non Fed'!M41,0)</f>
        <v>0</v>
      </c>
      <c r="X38" s="204">
        <f>SUM(V38:W38)</f>
        <v>0</v>
      </c>
      <c r="Y38" s="205">
        <f>SUM(L38+O38+R38+U38)</f>
        <v>0</v>
      </c>
    </row>
    <row r="39" spans="1:25" ht="15.75">
      <c r="A39" s="1"/>
      <c r="B39" s="1"/>
      <c r="C39" s="1"/>
      <c r="D39" s="188" t="s">
        <v>176</v>
      </c>
      <c r="E39" s="26"/>
      <c r="F39" s="26"/>
      <c r="G39" s="1"/>
      <c r="H39" s="1"/>
      <c r="I39" s="1"/>
      <c r="J39" s="209">
        <f aca="true" t="shared" si="15" ref="J39:X39">SUM(J19+J25+J32+J34+J35+J36+J37+J38)</f>
        <v>0</v>
      </c>
      <c r="K39" s="244">
        <f t="shared" si="15"/>
        <v>0</v>
      </c>
      <c r="L39" s="50">
        <f t="shared" si="15"/>
        <v>0</v>
      </c>
      <c r="M39" s="209">
        <f t="shared" si="15"/>
        <v>0</v>
      </c>
      <c r="N39" s="244">
        <f t="shared" si="15"/>
        <v>0</v>
      </c>
      <c r="O39" s="50">
        <f t="shared" si="15"/>
        <v>0</v>
      </c>
      <c r="P39" s="209">
        <f t="shared" si="15"/>
        <v>0</v>
      </c>
      <c r="Q39" s="244">
        <f t="shared" si="15"/>
        <v>0</v>
      </c>
      <c r="R39" s="50">
        <f t="shared" si="15"/>
        <v>0</v>
      </c>
      <c r="S39" s="209">
        <f t="shared" si="15"/>
        <v>0</v>
      </c>
      <c r="T39" s="244">
        <f t="shared" si="15"/>
        <v>0</v>
      </c>
      <c r="U39" s="50">
        <f t="shared" si="15"/>
        <v>0</v>
      </c>
      <c r="V39" s="209">
        <f t="shared" si="15"/>
        <v>0</v>
      </c>
      <c r="W39" s="244">
        <f t="shared" si="15"/>
        <v>0</v>
      </c>
      <c r="X39" s="50">
        <f t="shared" si="15"/>
        <v>0</v>
      </c>
      <c r="Y39" s="42">
        <f>SUM(Y34:Y38)</f>
        <v>0</v>
      </c>
    </row>
    <row r="40" spans="1:26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6"/>
      <c r="L40" s="176"/>
      <c r="M40" s="64"/>
      <c r="P40" s="64"/>
      <c r="Q40" s="156"/>
      <c r="R40" s="46"/>
      <c r="S40" s="64"/>
      <c r="T40" s="156"/>
      <c r="U40" s="46"/>
      <c r="V40" s="64"/>
      <c r="W40" s="156"/>
      <c r="X40" s="46"/>
      <c r="Y40" s="64" t="s">
        <v>1</v>
      </c>
      <c r="Z40" s="6"/>
    </row>
    <row r="41" spans="1:26" s="31" customFormat="1" ht="18.75" customHeight="1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8"/>
      <c r="L41" s="178"/>
      <c r="M41" s="47">
        <f>SUM(M39+N39)</f>
        <v>0</v>
      </c>
      <c r="N41" s="158"/>
      <c r="O41" s="143"/>
      <c r="P41" s="47">
        <f>SUM(P39+Q39)</f>
        <v>0</v>
      </c>
      <c r="Q41" s="158"/>
      <c r="R41" s="143"/>
      <c r="S41" s="47">
        <f>SUM(S39+T39)</f>
        <v>0</v>
      </c>
      <c r="T41" s="158"/>
      <c r="U41" s="143"/>
      <c r="V41" s="47">
        <f>SUM(V39+W39)</f>
        <v>0</v>
      </c>
      <c r="W41" s="158"/>
      <c r="X41" s="143"/>
      <c r="Y41" s="47">
        <f>SUM(J41+M41+P41+S41+V41)</f>
        <v>0</v>
      </c>
      <c r="Z41" s="29"/>
    </row>
    <row r="42" spans="2:26" ht="12.75" customHeight="1">
      <c r="B42" s="1"/>
      <c r="C42" s="28"/>
      <c r="D42" s="26"/>
      <c r="E42" s="26"/>
      <c r="F42" s="26"/>
      <c r="G42" s="26"/>
      <c r="H42" s="26"/>
      <c r="I42" s="26"/>
      <c r="J42" s="52"/>
      <c r="K42" s="156"/>
      <c r="L42" s="176"/>
      <c r="M42" s="46"/>
      <c r="N42" s="156"/>
      <c r="O42" s="46"/>
      <c r="P42" s="46"/>
      <c r="Q42" s="156"/>
      <c r="R42" s="46"/>
      <c r="S42" s="46"/>
      <c r="T42" s="156"/>
      <c r="U42" s="46"/>
      <c r="V42" s="46"/>
      <c r="W42" s="156"/>
      <c r="X42" s="46"/>
      <c r="Y42" s="46" t="s">
        <v>1</v>
      </c>
      <c r="Z42" s="6"/>
    </row>
    <row r="43" spans="1:26" ht="15.75">
      <c r="A43" s="1"/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6"/>
      <c r="L43" s="176"/>
      <c r="M43" s="50"/>
      <c r="N43" s="156"/>
      <c r="O43" s="46"/>
      <c r="P43" s="50"/>
      <c r="Q43" s="156"/>
      <c r="R43" s="46"/>
      <c r="S43" s="50"/>
      <c r="T43" s="156"/>
      <c r="U43" s="46"/>
      <c r="V43" s="50"/>
      <c r="W43" s="156"/>
      <c r="X43" s="46"/>
      <c r="Y43" s="50" t="s">
        <v>1</v>
      </c>
      <c r="Z43" s="6"/>
    </row>
    <row r="44" spans="1:26" ht="15.75">
      <c r="A44" s="22" t="s">
        <v>24</v>
      </c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6"/>
      <c r="L44" s="176"/>
      <c r="M44" s="42">
        <v>0</v>
      </c>
      <c r="N44" s="157"/>
      <c r="O44" s="50"/>
      <c r="P44" s="42">
        <v>0</v>
      </c>
      <c r="Q44" s="157"/>
      <c r="R44" s="50"/>
      <c r="S44" s="42">
        <v>0</v>
      </c>
      <c r="T44" s="157"/>
      <c r="U44" s="50"/>
      <c r="V44" s="42">
        <v>0</v>
      </c>
      <c r="W44" s="157"/>
      <c r="X44" s="50"/>
      <c r="Y44" s="42">
        <f>SUM(J44:V44)</f>
        <v>0</v>
      </c>
      <c r="Z44" s="6"/>
    </row>
    <row r="45" spans="1:26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6"/>
      <c r="L45" s="176"/>
      <c r="M45" s="42">
        <v>0</v>
      </c>
      <c r="N45" s="157"/>
      <c r="O45" s="50"/>
      <c r="P45" s="42">
        <v>0</v>
      </c>
      <c r="Q45" s="157"/>
      <c r="R45" s="50"/>
      <c r="S45" s="42">
        <v>0</v>
      </c>
      <c r="T45" s="157"/>
      <c r="U45" s="50"/>
      <c r="V45" s="42">
        <v>0</v>
      </c>
      <c r="W45" s="157"/>
      <c r="X45" s="50"/>
      <c r="Y45" s="42">
        <f>SUM(J45:V45)</f>
        <v>0</v>
      </c>
      <c r="Z45" s="6"/>
    </row>
    <row r="46" spans="1:26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9"/>
      <c r="L46" s="179"/>
      <c r="M46" s="53">
        <f>SUM(M44:M45)</f>
        <v>0</v>
      </c>
      <c r="N46" s="159"/>
      <c r="O46" s="48"/>
      <c r="P46" s="53">
        <f>SUM(P44:P45)</f>
        <v>0</v>
      </c>
      <c r="Q46" s="159"/>
      <c r="R46" s="48"/>
      <c r="S46" s="53">
        <f>SUM(S44:S45)</f>
        <v>0</v>
      </c>
      <c r="T46" s="159"/>
      <c r="U46" s="48"/>
      <c r="V46" s="53">
        <f>SUM(V44:V45)</f>
        <v>0</v>
      </c>
      <c r="W46" s="159"/>
      <c r="X46" s="48"/>
      <c r="Y46" s="53">
        <f>SUM(J46:V46)</f>
        <v>0</v>
      </c>
      <c r="Z46" s="29"/>
    </row>
    <row r="47" spans="1:26" ht="9" customHeight="1">
      <c r="A47" s="21"/>
      <c r="B47" s="1"/>
      <c r="C47" s="28"/>
      <c r="D47" s="26"/>
      <c r="E47" s="26"/>
      <c r="F47" s="26"/>
      <c r="G47" s="26"/>
      <c r="H47" s="26"/>
      <c r="I47" s="26"/>
      <c r="J47" s="52"/>
      <c r="K47" s="156"/>
      <c r="L47" s="176"/>
      <c r="M47" s="46"/>
      <c r="N47" s="156"/>
      <c r="O47" s="46"/>
      <c r="P47" s="46"/>
      <c r="Q47" s="156"/>
      <c r="R47" s="46"/>
      <c r="S47" s="46"/>
      <c r="T47" s="156"/>
      <c r="U47" s="46"/>
      <c r="V47" s="46"/>
      <c r="W47" s="156"/>
      <c r="X47" s="46"/>
      <c r="Y47" s="46"/>
      <c r="Z47" s="6"/>
    </row>
    <row r="48" spans="1:26" ht="15.75">
      <c r="A48" s="1"/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7"/>
      <c r="L48" s="177"/>
      <c r="M48" s="45" t="s">
        <v>1</v>
      </c>
      <c r="N48" s="157"/>
      <c r="O48" s="50"/>
      <c r="P48" s="45" t="s">
        <v>1</v>
      </c>
      <c r="Q48" s="157"/>
      <c r="R48" s="50"/>
      <c r="S48" s="45" t="s">
        <v>1</v>
      </c>
      <c r="T48" s="157"/>
      <c r="U48" s="50"/>
      <c r="V48" s="45" t="s">
        <v>1</v>
      </c>
      <c r="W48" s="157"/>
      <c r="X48" s="50"/>
      <c r="Y48" s="45"/>
      <c r="Z48" s="5"/>
    </row>
    <row r="49" spans="1:26" ht="15.75">
      <c r="A49" s="22" t="s">
        <v>28</v>
      </c>
      <c r="B49" s="21"/>
      <c r="C49" s="13" t="s">
        <v>30</v>
      </c>
      <c r="D49" s="10" t="s">
        <v>26</v>
      </c>
      <c r="E49" s="31"/>
      <c r="F49" s="31"/>
      <c r="J49" s="42">
        <v>0</v>
      </c>
      <c r="K49" s="157"/>
      <c r="L49" s="177"/>
      <c r="M49" s="42">
        <f>ROUND((J49*1.02),0)</f>
        <v>0</v>
      </c>
      <c r="N49" s="167"/>
      <c r="O49" s="147"/>
      <c r="P49" s="42">
        <f>ROUND((M49*1.02),0)</f>
        <v>0</v>
      </c>
      <c r="Q49" s="167"/>
      <c r="R49" s="147"/>
      <c r="S49" s="42">
        <f>ROUND((P49*1.02),0)</f>
        <v>0</v>
      </c>
      <c r="T49" s="167"/>
      <c r="U49" s="147"/>
      <c r="V49" s="42">
        <f>ROUND((S49*1.02),0)</f>
        <v>0</v>
      </c>
      <c r="W49" s="167"/>
      <c r="X49" s="147"/>
      <c r="Y49" s="42">
        <f>SUM(J49:V49)</f>
        <v>0</v>
      </c>
      <c r="Z49" s="5"/>
    </row>
    <row r="50" spans="1:26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7"/>
      <c r="L50" s="177"/>
      <c r="M50" s="42">
        <f>ROUND((J50*1.02),0)</f>
        <v>0</v>
      </c>
      <c r="N50" s="167"/>
      <c r="O50" s="147"/>
      <c r="P50" s="42">
        <f>ROUND((M50*1.02),0)</f>
        <v>0</v>
      </c>
      <c r="Q50" s="167"/>
      <c r="R50" s="147"/>
      <c r="S50" s="42">
        <f>ROUND((P50*1.02),0)</f>
        <v>0</v>
      </c>
      <c r="T50" s="167"/>
      <c r="U50" s="147"/>
      <c r="V50" s="42">
        <f>ROUND((S50*1.02),0)</f>
        <v>0</v>
      </c>
      <c r="W50" s="167"/>
      <c r="X50" s="147"/>
      <c r="Y50" s="42">
        <f>SUM(J50:V50)</f>
        <v>0</v>
      </c>
      <c r="Z50" s="5"/>
    </row>
    <row r="51" spans="1:26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9"/>
      <c r="L51" s="179"/>
      <c r="M51" s="55">
        <f>SUM(M49:M50)</f>
        <v>0</v>
      </c>
      <c r="N51" s="159"/>
      <c r="O51" s="48"/>
      <c r="P51" s="55">
        <f>SUM(P49:P50)</f>
        <v>0</v>
      </c>
      <c r="Q51" s="159"/>
      <c r="R51" s="48"/>
      <c r="S51" s="55">
        <f>SUM(S49:S50)</f>
        <v>0</v>
      </c>
      <c r="T51" s="159"/>
      <c r="U51" s="48"/>
      <c r="V51" s="55">
        <f>SUM(V49:V50)</f>
        <v>0</v>
      </c>
      <c r="W51" s="159"/>
      <c r="X51" s="48"/>
      <c r="Y51" s="55">
        <f>SUM(J51:V51)</f>
        <v>0</v>
      </c>
      <c r="Z51" s="29"/>
    </row>
    <row r="52" spans="1:26" ht="10.5" customHeight="1">
      <c r="A52" s="21"/>
      <c r="B52" s="1"/>
      <c r="C52" s="28"/>
      <c r="D52" s="26"/>
      <c r="E52" s="26"/>
      <c r="F52" s="26"/>
      <c r="G52" s="26"/>
      <c r="H52" s="26"/>
      <c r="I52" s="26"/>
      <c r="J52" s="52"/>
      <c r="K52" s="156"/>
      <c r="L52" s="176"/>
      <c r="M52" s="42"/>
      <c r="N52" s="156"/>
      <c r="O52" s="46"/>
      <c r="P52" s="42"/>
      <c r="Q52" s="156"/>
      <c r="R52" s="46"/>
      <c r="S52" s="42"/>
      <c r="T52" s="156"/>
      <c r="U52" s="46"/>
      <c r="V52" s="42"/>
      <c r="W52" s="156"/>
      <c r="X52" s="46"/>
      <c r="Y52" s="42"/>
      <c r="Z52" s="6"/>
    </row>
    <row r="53" spans="1:26" ht="15.75">
      <c r="A53" s="1"/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7"/>
      <c r="L53" s="177"/>
      <c r="M53" s="42" t="s">
        <v>1</v>
      </c>
      <c r="N53" s="157"/>
      <c r="O53" s="50"/>
      <c r="P53" s="42" t="s">
        <v>1</v>
      </c>
      <c r="Q53" s="157"/>
      <c r="R53" s="50"/>
      <c r="S53" s="42" t="s">
        <v>1</v>
      </c>
      <c r="T53" s="157"/>
      <c r="U53" s="50"/>
      <c r="V53" s="42" t="s">
        <v>1</v>
      </c>
      <c r="W53" s="157"/>
      <c r="X53" s="50"/>
      <c r="Y53" s="42"/>
      <c r="Z53" s="5"/>
    </row>
    <row r="54" spans="1:26" ht="15.75">
      <c r="A54" s="22" t="s">
        <v>33</v>
      </c>
      <c r="B54" s="21"/>
      <c r="C54" s="13" t="s">
        <v>35</v>
      </c>
      <c r="D54" s="3"/>
      <c r="E54" s="31"/>
      <c r="F54" s="31"/>
      <c r="J54" s="42">
        <v>0</v>
      </c>
      <c r="K54" s="157"/>
      <c r="L54" s="177"/>
      <c r="M54" s="42">
        <f>ROUND((J54*1.02),0)</f>
        <v>0</v>
      </c>
      <c r="N54" s="167"/>
      <c r="O54" s="147"/>
      <c r="P54" s="42">
        <f>ROUND((M54*1.02),0)</f>
        <v>0</v>
      </c>
      <c r="Q54" s="167"/>
      <c r="R54" s="147"/>
      <c r="S54" s="42">
        <f>ROUND((P54*1.02),0)</f>
        <v>0</v>
      </c>
      <c r="T54" s="167"/>
      <c r="U54" s="147"/>
      <c r="V54" s="42">
        <f aca="true" t="shared" si="16" ref="V54:V60">ROUND((S54*1.02),0)</f>
        <v>0</v>
      </c>
      <c r="W54" s="167"/>
      <c r="X54" s="147"/>
      <c r="Y54" s="42">
        <f aca="true" t="shared" si="17" ref="Y54:Y65">SUM(J54:V54)</f>
        <v>0</v>
      </c>
      <c r="Z54" s="5"/>
    </row>
    <row r="55" spans="1:26" ht="15.75">
      <c r="A55" s="21"/>
      <c r="B55" s="21"/>
      <c r="C55" s="13" t="s">
        <v>36</v>
      </c>
      <c r="D55" s="3"/>
      <c r="E55" s="31"/>
      <c r="F55" s="31"/>
      <c r="J55" s="42">
        <v>0</v>
      </c>
      <c r="K55" s="157"/>
      <c r="L55" s="177"/>
      <c r="M55" s="42">
        <f aca="true" t="shared" si="18" ref="M55:M60">ROUND((J55*1.02),0)</f>
        <v>0</v>
      </c>
      <c r="N55" s="167"/>
      <c r="O55" s="147"/>
      <c r="P55" s="42">
        <f aca="true" t="shared" si="19" ref="P55:P60">ROUND((M55*1.02),0)</f>
        <v>0</v>
      </c>
      <c r="Q55" s="167"/>
      <c r="R55" s="147"/>
      <c r="S55" s="42">
        <f aca="true" t="shared" si="20" ref="S55:S60">ROUND((P55*1.02),0)</f>
        <v>0</v>
      </c>
      <c r="T55" s="167"/>
      <c r="U55" s="147"/>
      <c r="V55" s="42">
        <f t="shared" si="16"/>
        <v>0</v>
      </c>
      <c r="W55" s="167"/>
      <c r="X55" s="147"/>
      <c r="Y55" s="42">
        <f t="shared" si="17"/>
        <v>0</v>
      </c>
      <c r="Z55" s="5"/>
    </row>
    <row r="56" spans="1:26" ht="15.75">
      <c r="A56" s="21"/>
      <c r="B56" s="21"/>
      <c r="C56" s="13" t="s">
        <v>37</v>
      </c>
      <c r="D56" s="3"/>
      <c r="E56" s="31"/>
      <c r="F56" s="31"/>
      <c r="J56" s="42">
        <v>0</v>
      </c>
      <c r="K56" s="157"/>
      <c r="L56" s="177"/>
      <c r="M56" s="42">
        <f t="shared" si="18"/>
        <v>0</v>
      </c>
      <c r="N56" s="167"/>
      <c r="O56" s="147"/>
      <c r="P56" s="42">
        <f t="shared" si="19"/>
        <v>0</v>
      </c>
      <c r="Q56" s="168"/>
      <c r="R56" s="42"/>
      <c r="S56" s="42">
        <f t="shared" si="20"/>
        <v>0</v>
      </c>
      <c r="T56" s="168"/>
      <c r="U56" s="42"/>
      <c r="V56" s="42">
        <f t="shared" si="16"/>
        <v>0</v>
      </c>
      <c r="W56" s="167"/>
      <c r="X56" s="147"/>
      <c r="Y56" s="42">
        <f t="shared" si="17"/>
        <v>0</v>
      </c>
      <c r="Z56" s="5"/>
    </row>
    <row r="57" spans="1:26" ht="15.75">
      <c r="A57" s="21"/>
      <c r="B57" s="21"/>
      <c r="C57" s="13" t="s">
        <v>38</v>
      </c>
      <c r="D57" s="3"/>
      <c r="E57" s="31"/>
      <c r="F57" s="31"/>
      <c r="J57" s="42">
        <v>0</v>
      </c>
      <c r="K57" s="157"/>
      <c r="L57" s="177"/>
      <c r="M57" s="42">
        <f t="shared" si="18"/>
        <v>0</v>
      </c>
      <c r="N57" s="167"/>
      <c r="O57" s="147"/>
      <c r="P57" s="42">
        <f t="shared" si="19"/>
        <v>0</v>
      </c>
      <c r="Q57" s="167"/>
      <c r="R57" s="147"/>
      <c r="S57" s="42">
        <f t="shared" si="20"/>
        <v>0</v>
      </c>
      <c r="T57" s="167"/>
      <c r="U57" s="147"/>
      <c r="V57" s="42">
        <f t="shared" si="16"/>
        <v>0</v>
      </c>
      <c r="W57" s="167"/>
      <c r="X57" s="147"/>
      <c r="Y57" s="42">
        <f t="shared" si="17"/>
        <v>0</v>
      </c>
      <c r="Z57" s="5"/>
    </row>
    <row r="58" spans="1:26" ht="15.75">
      <c r="A58" s="21"/>
      <c r="B58" s="21"/>
      <c r="C58" s="236" t="s">
        <v>100</v>
      </c>
      <c r="D58" s="3"/>
      <c r="E58" s="31"/>
      <c r="F58" s="31"/>
      <c r="J58" s="42">
        <v>0</v>
      </c>
      <c r="K58" s="157"/>
      <c r="L58" s="177"/>
      <c r="M58" s="42">
        <f t="shared" si="18"/>
        <v>0</v>
      </c>
      <c r="N58" s="167"/>
      <c r="O58" s="147"/>
      <c r="P58" s="42">
        <f t="shared" si="19"/>
        <v>0</v>
      </c>
      <c r="Q58" s="167"/>
      <c r="R58" s="147"/>
      <c r="S58" s="42">
        <f t="shared" si="20"/>
        <v>0</v>
      </c>
      <c r="T58" s="167"/>
      <c r="U58" s="147"/>
      <c r="V58" s="42">
        <f t="shared" si="16"/>
        <v>0</v>
      </c>
      <c r="W58" s="167"/>
      <c r="X58" s="147"/>
      <c r="Y58" s="42">
        <f t="shared" si="17"/>
        <v>0</v>
      </c>
      <c r="Z58" s="5"/>
    </row>
    <row r="59" spans="1:26" ht="15.75">
      <c r="A59" s="21"/>
      <c r="B59" s="21"/>
      <c r="C59" s="13" t="s">
        <v>90</v>
      </c>
      <c r="D59" s="3"/>
      <c r="E59" s="31"/>
      <c r="F59" s="31"/>
      <c r="J59" s="42">
        <v>0</v>
      </c>
      <c r="K59" s="157"/>
      <c r="L59" s="177"/>
      <c r="M59" s="42">
        <f t="shared" si="18"/>
        <v>0</v>
      </c>
      <c r="N59" s="168"/>
      <c r="O59" s="42"/>
      <c r="P59" s="42">
        <f t="shared" si="19"/>
        <v>0</v>
      </c>
      <c r="Q59" s="168"/>
      <c r="R59" s="42"/>
      <c r="S59" s="42">
        <f t="shared" si="20"/>
        <v>0</v>
      </c>
      <c r="T59" s="168"/>
      <c r="U59" s="42"/>
      <c r="V59" s="42">
        <f t="shared" si="16"/>
        <v>0</v>
      </c>
      <c r="W59" s="167"/>
      <c r="X59" s="147"/>
      <c r="Y59" s="42">
        <f t="shared" si="17"/>
        <v>0</v>
      </c>
      <c r="Z59" s="5"/>
    </row>
    <row r="60" spans="1:26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7"/>
      <c r="L60" s="177"/>
      <c r="M60" s="42">
        <f t="shared" si="18"/>
        <v>0</v>
      </c>
      <c r="N60" s="168"/>
      <c r="O60" s="42"/>
      <c r="P60" s="42">
        <f t="shared" si="19"/>
        <v>0</v>
      </c>
      <c r="Q60" s="168"/>
      <c r="R60" s="42"/>
      <c r="S60" s="42">
        <f t="shared" si="20"/>
        <v>0</v>
      </c>
      <c r="T60" s="168"/>
      <c r="U60" s="42"/>
      <c r="V60" s="42">
        <f t="shared" si="16"/>
        <v>0</v>
      </c>
      <c r="W60" s="168"/>
      <c r="X60" s="42"/>
      <c r="Y60" s="42">
        <f t="shared" si="17"/>
        <v>0</v>
      </c>
      <c r="Z60" s="5"/>
    </row>
    <row r="61" spans="1:27" ht="15.75">
      <c r="A61" s="21"/>
      <c r="B61" s="21"/>
      <c r="C61" s="22" t="s">
        <v>40</v>
      </c>
      <c r="D61" s="10"/>
      <c r="E61" s="31"/>
      <c r="F61" s="31"/>
      <c r="J61" s="42">
        <v>0</v>
      </c>
      <c r="K61" s="157"/>
      <c r="L61" s="177"/>
      <c r="M61" s="42">
        <v>0</v>
      </c>
      <c r="N61" s="245"/>
      <c r="O61" s="147"/>
      <c r="P61" s="42">
        <v>0</v>
      </c>
      <c r="Q61" s="167"/>
      <c r="R61" s="147"/>
      <c r="S61" s="42">
        <v>0</v>
      </c>
      <c r="T61" s="167"/>
      <c r="U61" s="147"/>
      <c r="V61" s="42">
        <v>0</v>
      </c>
      <c r="W61" s="167"/>
      <c r="X61" s="147"/>
      <c r="Y61" s="42">
        <f t="shared" si="17"/>
        <v>0</v>
      </c>
      <c r="Z61" s="5"/>
      <c r="AA61" s="76"/>
    </row>
    <row r="62" spans="1:27" ht="15.75">
      <c r="A62" s="21"/>
      <c r="B62" s="21"/>
      <c r="C62" s="63" t="s">
        <v>41</v>
      </c>
      <c r="D62" s="10"/>
      <c r="E62" s="31"/>
      <c r="F62" s="31"/>
      <c r="J62" s="42">
        <v>0</v>
      </c>
      <c r="K62" s="244"/>
      <c r="L62" s="177"/>
      <c r="M62" s="42">
        <v>0</v>
      </c>
      <c r="N62" s="245"/>
      <c r="O62" s="147"/>
      <c r="P62" s="42">
        <v>0</v>
      </c>
      <c r="Q62" s="245"/>
      <c r="R62" s="147"/>
      <c r="S62" s="42">
        <v>0</v>
      </c>
      <c r="T62" s="245"/>
      <c r="U62" s="147"/>
      <c r="V62" s="42">
        <v>0</v>
      </c>
      <c r="W62" s="245"/>
      <c r="X62" s="147"/>
      <c r="Y62" s="42">
        <f t="shared" si="17"/>
        <v>0</v>
      </c>
      <c r="Z62" s="5"/>
      <c r="AA62" s="76"/>
    </row>
    <row r="63" spans="1:27" ht="15.75">
      <c r="A63" s="21"/>
      <c r="B63" s="21"/>
      <c r="C63" s="63" t="s">
        <v>92</v>
      </c>
      <c r="D63" s="10"/>
      <c r="E63" s="31"/>
      <c r="F63" s="31"/>
      <c r="J63" s="42">
        <v>0</v>
      </c>
      <c r="K63" s="244"/>
      <c r="L63" s="177"/>
      <c r="M63" s="42">
        <v>0</v>
      </c>
      <c r="N63" s="245"/>
      <c r="O63" s="147"/>
      <c r="P63" s="42">
        <v>0</v>
      </c>
      <c r="Q63" s="245"/>
      <c r="R63" s="147"/>
      <c r="S63" s="42">
        <v>0</v>
      </c>
      <c r="T63" s="245"/>
      <c r="U63" s="147"/>
      <c r="V63" s="42">
        <v>0</v>
      </c>
      <c r="W63" s="245"/>
      <c r="X63" s="147"/>
      <c r="Y63" s="42">
        <f t="shared" si="17"/>
        <v>0</v>
      </c>
      <c r="Z63" s="5"/>
      <c r="AA63" s="76"/>
    </row>
    <row r="64" spans="1:27" ht="15.75">
      <c r="A64" s="21"/>
      <c r="B64" s="21"/>
      <c r="C64" s="63" t="s">
        <v>93</v>
      </c>
      <c r="D64" s="10"/>
      <c r="E64" s="31"/>
      <c r="F64" s="31"/>
      <c r="J64" s="42">
        <v>0</v>
      </c>
      <c r="K64" s="244"/>
      <c r="L64" s="177"/>
      <c r="M64" s="42">
        <v>0</v>
      </c>
      <c r="N64" s="245"/>
      <c r="O64" s="147"/>
      <c r="P64" s="42">
        <v>0</v>
      </c>
      <c r="Q64" s="245"/>
      <c r="R64" s="147"/>
      <c r="S64" s="42">
        <v>0</v>
      </c>
      <c r="T64" s="167"/>
      <c r="U64" s="147"/>
      <c r="V64" s="42">
        <v>0</v>
      </c>
      <c r="W64" s="245"/>
      <c r="X64" s="147"/>
      <c r="Y64" s="42">
        <f t="shared" si="17"/>
        <v>0</v>
      </c>
      <c r="Z64" s="5"/>
      <c r="AA64" s="76"/>
    </row>
    <row r="65" spans="1:27" ht="15.75">
      <c r="A65" s="21"/>
      <c r="D65" s="28"/>
      <c r="E65" s="28"/>
      <c r="F65" s="28"/>
      <c r="G65" s="28"/>
      <c r="H65" s="28"/>
      <c r="I65" s="28"/>
      <c r="J65" s="51">
        <f>SUM(J54:J64)</f>
        <v>0</v>
      </c>
      <c r="K65" s="160"/>
      <c r="L65" s="180"/>
      <c r="M65" s="43">
        <f>SUM(M54:M64)</f>
        <v>0</v>
      </c>
      <c r="N65" s="160"/>
      <c r="O65" s="44"/>
      <c r="P65" s="43">
        <f>SUM(P54:P64)</f>
        <v>0</v>
      </c>
      <c r="Q65" s="160"/>
      <c r="R65" s="44"/>
      <c r="S65" s="43">
        <f>SUM(S54:S64)</f>
        <v>0</v>
      </c>
      <c r="T65" s="160"/>
      <c r="U65" s="44"/>
      <c r="V65" s="43">
        <f>SUM(V54:V64)</f>
        <v>0</v>
      </c>
      <c r="W65" s="160"/>
      <c r="X65" s="44"/>
      <c r="Y65" s="43">
        <f t="shared" si="17"/>
        <v>0</v>
      </c>
      <c r="Z65" s="34"/>
      <c r="AA65" s="76"/>
    </row>
    <row r="66" spans="1:26" ht="7.5" customHeight="1">
      <c r="A66" s="40" t="s">
        <v>42</v>
      </c>
      <c r="B66" s="21"/>
      <c r="C66" s="26"/>
      <c r="D66" s="28"/>
      <c r="E66" s="28"/>
      <c r="F66" s="28"/>
      <c r="G66" s="26"/>
      <c r="H66" s="26"/>
      <c r="I66" s="26"/>
      <c r="J66" s="52"/>
      <c r="K66" s="156"/>
      <c r="L66" s="176"/>
      <c r="M66" s="46"/>
      <c r="N66" s="156"/>
      <c r="O66" s="46"/>
      <c r="P66" s="46"/>
      <c r="Q66" s="156"/>
      <c r="R66" s="46"/>
      <c r="S66" s="46"/>
      <c r="T66" s="156"/>
      <c r="U66" s="46"/>
      <c r="V66" s="46"/>
      <c r="W66" s="156"/>
      <c r="X66" s="46"/>
      <c r="Y66" s="46" t="s">
        <v>1</v>
      </c>
      <c r="Z66" s="6"/>
    </row>
    <row r="67" spans="1:26" ht="16.5">
      <c r="A67" s="21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1"/>
      <c r="L67" s="181"/>
      <c r="M67" s="65">
        <f>ROUND(+M65+M51+M46+M41,0)</f>
        <v>0</v>
      </c>
      <c r="N67" s="161"/>
      <c r="O67" s="65"/>
      <c r="P67" s="65">
        <f>ROUND(+P65+P51+P46+P41,0)</f>
        <v>0</v>
      </c>
      <c r="Q67" s="161"/>
      <c r="R67" s="65"/>
      <c r="S67" s="65">
        <f>ROUND(+S65+S51+S46+S41,0)</f>
        <v>0</v>
      </c>
      <c r="T67" s="161"/>
      <c r="U67" s="65"/>
      <c r="V67" s="65">
        <f>ROUND(+V65+V51+V46+V41,0)</f>
        <v>0</v>
      </c>
      <c r="W67" s="161"/>
      <c r="X67" s="65"/>
      <c r="Y67" s="65">
        <f>SUM(J67:V67)</f>
        <v>0</v>
      </c>
      <c r="Z67" s="34"/>
    </row>
    <row r="68" spans="1:25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1"/>
      <c r="L68" s="181"/>
      <c r="M68" s="65"/>
      <c r="N68" s="169"/>
      <c r="O68" s="196"/>
      <c r="P68" s="65"/>
      <c r="Q68" s="169"/>
      <c r="R68" s="196"/>
      <c r="S68" s="65"/>
      <c r="T68" s="169"/>
      <c r="U68" s="196"/>
      <c r="V68" s="65"/>
      <c r="W68" s="169"/>
      <c r="X68" s="196"/>
      <c r="Y68" s="65"/>
    </row>
    <row r="69" spans="1:27" ht="15.75">
      <c r="A69" s="28"/>
      <c r="B69" s="28"/>
      <c r="C69" s="28"/>
      <c r="D69" s="21"/>
      <c r="G69" s="39"/>
      <c r="H69" s="96" t="s">
        <v>119</v>
      </c>
      <c r="I69" s="39"/>
      <c r="J69" s="74">
        <f>SUM(J67)</f>
        <v>0</v>
      </c>
      <c r="K69" s="162"/>
      <c r="L69" s="182"/>
      <c r="M69" s="74">
        <f>SUM(M67)</f>
        <v>0</v>
      </c>
      <c r="N69" s="162"/>
      <c r="O69" s="197"/>
      <c r="P69" s="74">
        <f>SUM(P67)</f>
        <v>0</v>
      </c>
      <c r="Q69" s="162"/>
      <c r="R69" s="197"/>
      <c r="S69" s="74">
        <f>SUM(S67)</f>
        <v>0</v>
      </c>
      <c r="T69" s="162"/>
      <c r="U69" s="197"/>
      <c r="V69" s="74">
        <f>SUM(V67)</f>
        <v>0</v>
      </c>
      <c r="W69" s="162"/>
      <c r="X69" s="197"/>
      <c r="Y69" s="74">
        <f>SUM(J69:V69)</f>
        <v>0</v>
      </c>
      <c r="AA69" s="76"/>
    </row>
    <row r="70" spans="1:28" ht="15.75">
      <c r="A70" s="28"/>
      <c r="B70" s="1"/>
      <c r="C70" s="1"/>
      <c r="J70" s="42"/>
      <c r="K70" s="163"/>
      <c r="L70" s="183"/>
      <c r="M70" s="50"/>
      <c r="N70" s="163"/>
      <c r="O70" s="56"/>
      <c r="P70" s="50"/>
      <c r="Q70" s="163"/>
      <c r="R70" s="56"/>
      <c r="S70" s="50"/>
      <c r="T70" s="163"/>
      <c r="U70" s="56"/>
      <c r="V70" s="50"/>
      <c r="W70" s="163"/>
      <c r="X70" s="56"/>
      <c r="Y70" s="50"/>
      <c r="Z70" s="5"/>
      <c r="AB70" s="75"/>
    </row>
    <row r="71" spans="1:2" ht="15.75">
      <c r="A71" s="33" t="s">
        <v>118</v>
      </c>
      <c r="B71" s="1"/>
    </row>
    <row r="72" spans="1:26" ht="15.75">
      <c r="A72" s="13" t="s">
        <v>121</v>
      </c>
      <c r="D72" s="7">
        <f>IF(AND(($E$78)="R",($E$80)="C"),('RATES-Non Fed'!E46),IF(AND(($E$78)="R",($E$80)="O"),('RATES-Non Fed'!E51),IF(AND(($E$78)="I",($E$80)="C"),('RATES-Non Fed'!E47),IF(AND(($E$78)="I",($E$80)="O"),('RATES-Non Fed'!E52),IF(AND(($E$78)="P",($E$80)="C"),('RATES-Non Fed'!E48),IF(AND(($E$78)="P",($E$80)="O"),('RATES-Non Fed'!E53),($E$79)))))))</f>
        <v>0.605</v>
      </c>
      <c r="E72" s="7">
        <f>IF(AND(($E$78)="R",($E$80)="C"),('RATES-Non Fed'!G46),IF(AND(($E$78)="R",($E$80)="O"),('RATES-Non Fed'!G51),IF(AND(($E$78)="I",($E$80)="C"),('RATES-Non Fed'!G47),IF(AND(($E$78)="I",($E$80)="O"),('RATES-Non Fed'!G52),IF(AND(($E$78)="P",($E$80)="C"),('RATES-Non Fed'!G48),IF(AND(($E$78)="P",($E$80)="O"),('RATES-Non Fed'!G53),($E$79)))))))</f>
        <v>0.605</v>
      </c>
      <c r="F72" s="7">
        <f>IF(AND(($E$78)="R",($E$80)="C"),('RATES-Non Fed'!I46),IF(AND(($E$78)="R",($E$80)="O"),('RATES-Non Fed'!I51),IF(AND(($E$78)="I",($E$80)="C"),('RATES-Non Fed'!I47),IF(AND(($E$78)="I",($E$80)="O"),('RATES-Non Fed'!I52),IF(AND(($E$78)="P",($E$80)="C"),('RATES-Non Fed'!I48),IF(AND(($E$78)="P",($E$80)="O"),('RATES-Non Fed'!I53),($E$79)))))))</f>
        <v>0.605</v>
      </c>
      <c r="G72" s="7">
        <f>IF(AND(($E$78)="R",($E$80)="C"),('RATES-Non Fed'!K46),IF(AND(($E$78)="R",($E$80)="O"),('RATES-Non Fed'!K51),IF(AND(($E$78)="I",($E$80)="C"),('RATES-Non Fed'!K47),IF(AND(($E$78)="I",($E$80)="O"),('RATES-Non Fed'!K52),IF(AND(($E$78)="P",($E$80)="C"),('RATES-Non Fed'!K48),IF(AND(($E$78)="P",($E$80)="O"),('RATES-Non Fed'!K53),($E$79)))))))</f>
        <v>0.605</v>
      </c>
      <c r="H72" s="7">
        <f>IF(AND(($E$78)="R",($E$80)="C"),('RATES-Non Fed'!M46),IF(AND(($E$78)="R",($E$80)="O"),('RATES-Non Fed'!M51),IF(AND(($E$78)="I",($E$80)="C"),('RATES-Non Fed'!M47),IF(AND(($E$78)="I",($E$80)="O"),('RATES-Non Fed'!M52),IF(AND(($E$78)="P",($E$80)="C"),('RATES-Non Fed'!M48),IF(AND(($E$78)="P",($E$80)="O"),('RATES-Non Fed'!M53),($E$79)))))))</f>
        <v>0.605</v>
      </c>
      <c r="J72" s="50">
        <f>SUM(J69*D72)</f>
        <v>0</v>
      </c>
      <c r="K72" s="157"/>
      <c r="L72" s="177"/>
      <c r="M72" s="50">
        <f>SUM(M69*E72)</f>
        <v>0</v>
      </c>
      <c r="N72" s="157"/>
      <c r="O72" s="50"/>
      <c r="P72" s="50">
        <f>SUM(P69*F72)</f>
        <v>0</v>
      </c>
      <c r="Q72" s="157"/>
      <c r="R72" s="50"/>
      <c r="S72" s="50">
        <f>SUM(S69*G72)</f>
        <v>0</v>
      </c>
      <c r="T72" s="157"/>
      <c r="U72" s="50"/>
      <c r="V72" s="50">
        <f>SUM(V69*H72)</f>
        <v>0</v>
      </c>
      <c r="W72" s="157"/>
      <c r="X72" s="50"/>
      <c r="Y72" s="50">
        <f>SUM(J72:V72)</f>
        <v>0</v>
      </c>
      <c r="Z72" s="5"/>
    </row>
    <row r="73" spans="1:26" ht="15.75">
      <c r="A73" s="40" t="s">
        <v>120</v>
      </c>
      <c r="B73" s="1"/>
      <c r="C73" s="24"/>
      <c r="D73" s="35"/>
      <c r="E73" s="7"/>
      <c r="F73" s="7"/>
      <c r="G73" s="7"/>
      <c r="H73" s="7"/>
      <c r="I73" s="7"/>
      <c r="J73" s="53">
        <f>SUM(J72:J72)</f>
        <v>0</v>
      </c>
      <c r="K73" s="160"/>
      <c r="L73" s="180"/>
      <c r="M73" s="53">
        <f>SUM(M72:M72)</f>
        <v>0</v>
      </c>
      <c r="N73" s="160"/>
      <c r="O73" s="44"/>
      <c r="P73" s="53">
        <f>SUM(P72:P72)</f>
        <v>0</v>
      </c>
      <c r="Q73" s="160"/>
      <c r="R73" s="44"/>
      <c r="S73" s="53">
        <f>SUM(S72:S72)</f>
        <v>0</v>
      </c>
      <c r="T73" s="160"/>
      <c r="U73" s="44"/>
      <c r="V73" s="53">
        <f>SUM(V72:V72)</f>
        <v>0</v>
      </c>
      <c r="W73" s="160"/>
      <c r="X73" s="44"/>
      <c r="Y73" s="53">
        <f>SUM(J73:V73)</f>
        <v>0</v>
      </c>
      <c r="Z73" s="5"/>
    </row>
    <row r="74" spans="1:26" ht="19.5" thickBot="1">
      <c r="A74" s="40"/>
      <c r="B74" s="1"/>
      <c r="C74" s="60" t="s">
        <v>44</v>
      </c>
      <c r="D74" s="35"/>
      <c r="E74" s="7"/>
      <c r="F74" s="7"/>
      <c r="G74" s="7"/>
      <c r="H74" s="7"/>
      <c r="I74" s="7"/>
      <c r="J74" s="72">
        <f>J73+J67</f>
        <v>0</v>
      </c>
      <c r="K74" s="161"/>
      <c r="L74" s="181"/>
      <c r="M74" s="72">
        <f>M73+M67</f>
        <v>0</v>
      </c>
      <c r="N74" s="161"/>
      <c r="O74" s="65"/>
      <c r="P74" s="72">
        <f>P73+P67</f>
        <v>0</v>
      </c>
      <c r="Q74" s="161"/>
      <c r="R74" s="65"/>
      <c r="S74" s="72">
        <f>S73+S67</f>
        <v>0</v>
      </c>
      <c r="T74" s="161"/>
      <c r="U74" s="65"/>
      <c r="V74" s="72">
        <f>V73+V67</f>
        <v>0</v>
      </c>
      <c r="W74" s="161"/>
      <c r="X74" s="65"/>
      <c r="Y74" s="72">
        <f>SUM(J74:V74)</f>
        <v>0</v>
      </c>
      <c r="Z74" s="5"/>
    </row>
    <row r="75" spans="1:26" ht="8.25" customHeight="1" thickTop="1">
      <c r="A75" s="40"/>
      <c r="B75" s="1"/>
      <c r="C75" s="35"/>
      <c r="D75" s="7"/>
      <c r="E75" s="7"/>
      <c r="F75" s="7"/>
      <c r="G75" s="7"/>
      <c r="H75" s="7"/>
      <c r="I75" s="7"/>
      <c r="J75" s="50"/>
      <c r="K75" s="157"/>
      <c r="L75" s="177"/>
      <c r="M75" s="50"/>
      <c r="N75" s="157"/>
      <c r="O75" s="50"/>
      <c r="P75" s="50"/>
      <c r="Q75" s="157"/>
      <c r="R75" s="50"/>
      <c r="S75" s="50"/>
      <c r="T75" s="157"/>
      <c r="U75" s="50"/>
      <c r="V75" s="50"/>
      <c r="W75" s="157"/>
      <c r="X75" s="50"/>
      <c r="Y75" s="50" t="s">
        <v>1</v>
      </c>
      <c r="Z75" s="5"/>
    </row>
    <row r="76" spans="1:26" ht="9" customHeight="1">
      <c r="A76" s="28"/>
      <c r="B76" s="1"/>
      <c r="C76" s="1"/>
      <c r="D76" s="1"/>
      <c r="E76" s="1"/>
      <c r="F76" s="1"/>
      <c r="G76" s="1"/>
      <c r="H76" s="1"/>
      <c r="I76" s="1"/>
      <c r="J76" s="49"/>
      <c r="K76" s="164"/>
      <c r="L76" s="184"/>
      <c r="M76" s="58"/>
      <c r="N76" s="164"/>
      <c r="O76" s="57"/>
      <c r="P76" s="58"/>
      <c r="Q76" s="164"/>
      <c r="R76" s="57"/>
      <c r="S76" s="58"/>
      <c r="T76" s="164"/>
      <c r="U76" s="57"/>
      <c r="V76" s="58"/>
      <c r="W76" s="164"/>
      <c r="X76" s="57"/>
      <c r="Y76" s="58"/>
      <c r="Z76" s="1"/>
    </row>
    <row r="77" spans="1:3" ht="15.75">
      <c r="A77" s="1"/>
      <c r="C77" s="36" t="s">
        <v>122</v>
      </c>
    </row>
    <row r="78" spans="3:24" ht="15.75">
      <c r="C78" s="14" t="s">
        <v>45</v>
      </c>
      <c r="E78" s="15" t="s">
        <v>46</v>
      </c>
      <c r="G78" s="14" t="s">
        <v>47</v>
      </c>
      <c r="W78" s="170"/>
      <c r="X78" s="198"/>
    </row>
    <row r="79" spans="3:6" ht="15.75">
      <c r="C79" s="14" t="s">
        <v>169</v>
      </c>
      <c r="E79" s="9">
        <v>0.1</v>
      </c>
      <c r="F79" s="9"/>
    </row>
    <row r="80" spans="3:7" ht="15.75">
      <c r="C80" s="14" t="s">
        <v>48</v>
      </c>
      <c r="E80" s="172" t="s">
        <v>49</v>
      </c>
      <c r="G80" s="14" t="s">
        <v>50</v>
      </c>
    </row>
    <row r="83" spans="4:22" ht="15.75">
      <c r="D83" s="223" t="s">
        <v>194</v>
      </c>
      <c r="H83" s="221">
        <f>+'RATES-Non Fed'!$E$31</f>
        <v>0.605</v>
      </c>
      <c r="J83" s="220">
        <f>J73/12*'RATES-Non Fed'!$C$46</f>
        <v>0</v>
      </c>
      <c r="L83" s="221">
        <f>+'RATES-Non Fed'!$G$31</f>
        <v>0.605</v>
      </c>
      <c r="M83" s="220">
        <f>M73/12*'RATES-Non Fed'!$C$46</f>
        <v>0</v>
      </c>
      <c r="O83" s="222">
        <f>+'RATES-Non Fed'!$I$31</f>
        <v>0.605</v>
      </c>
      <c r="P83" s="220">
        <f>P73/12*'RATES-Non Fed'!$C$46</f>
        <v>0</v>
      </c>
      <c r="R83" s="222">
        <f>+'RATES-Non Fed'!$K$31</f>
        <v>0.605</v>
      </c>
      <c r="S83" s="220">
        <f>S73/12*'RATES-Non Fed'!$C$46</f>
        <v>0</v>
      </c>
      <c r="U83" s="222">
        <f>+'RATES-Non Fed'!$M$31</f>
        <v>0.605</v>
      </c>
      <c r="V83" s="220">
        <f>V73/12*'RATES-Non Fed'!$C$46</f>
        <v>0</v>
      </c>
    </row>
    <row r="84" spans="4:22" ht="15.75">
      <c r="D84" s="274" t="s">
        <v>195</v>
      </c>
      <c r="E84" s="286"/>
      <c r="F84" s="286"/>
      <c r="G84" s="286"/>
      <c r="H84" s="221">
        <f>+'RATES-Non Fed'!$G$31</f>
        <v>0.605</v>
      </c>
      <c r="J84" s="220">
        <f>J73/12*'RATES-Non Fed'!$D$46</f>
        <v>0</v>
      </c>
      <c r="L84" s="221">
        <f>+'RATES-Non Fed'!$I$31</f>
        <v>0.605</v>
      </c>
      <c r="M84" s="220">
        <f>M73/12*'RATES-Non Fed'!$D$46</f>
        <v>0</v>
      </c>
      <c r="O84" s="222">
        <f>+'RATES-Non Fed'!$K$31</f>
        <v>0.605</v>
      </c>
      <c r="P84" s="220">
        <f>P73/12*'RATES-Non Fed'!$D$46</f>
        <v>0</v>
      </c>
      <c r="R84" s="222">
        <f>+'RATES-Non Fed'!$M$31</f>
        <v>0.605</v>
      </c>
      <c r="S84" s="220">
        <f>S73/12*'RATES-Non Fed'!$D$46</f>
        <v>0</v>
      </c>
      <c r="U84" s="222">
        <f>+'RATES-Non Fed'!$O$31</f>
        <v>0.605</v>
      </c>
      <c r="V84" s="220">
        <f>V73/12*'RATES-Non Fed'!$D$46</f>
        <v>0</v>
      </c>
    </row>
    <row r="85" spans="4:22" ht="15.75">
      <c r="D85" s="286"/>
      <c r="E85" s="286"/>
      <c r="F85" s="286"/>
      <c r="G85" s="286"/>
      <c r="J85" s="220">
        <f>SUM(J83:J84)</f>
        <v>0</v>
      </c>
      <c r="M85" s="220">
        <f>SUM(M83:M84)</f>
        <v>0</v>
      </c>
      <c r="P85" s="220">
        <f>SUM(P83:P84)</f>
        <v>0</v>
      </c>
      <c r="S85" s="220">
        <f>SUM(S83:S84)</f>
        <v>0</v>
      </c>
      <c r="V85" s="220">
        <f>SUM(V83:V84)</f>
        <v>0</v>
      </c>
    </row>
    <row r="87" spans="24:26" ht="18.75">
      <c r="X87" s="273"/>
      <c r="Y87" s="273"/>
      <c r="Z87" s="273"/>
    </row>
  </sheetData>
  <sheetProtection/>
  <mergeCells count="8">
    <mergeCell ref="D84:G85"/>
    <mergeCell ref="X87:Z87"/>
    <mergeCell ref="K4:V5"/>
    <mergeCell ref="J8:L8"/>
    <mergeCell ref="M8:O8"/>
    <mergeCell ref="P8:R8"/>
    <mergeCell ref="S8:U8"/>
    <mergeCell ref="V8:X8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 horizontalCentered="1"/>
  <pageMargins left="0.25" right="0.25" top="0.75" bottom="0.75" header="0.3" footer="0.3"/>
  <pageSetup fitToHeight="1" fitToWidth="1" horizontalDpi="300" verticalDpi="300" orientation="landscape" scale="43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3"/>
  <sheetViews>
    <sheetView showGridLines="0" tabSelected="1" zoomScale="70" zoomScaleNormal="70" workbookViewId="0" topLeftCell="A25">
      <selection activeCell="N63" sqref="N63"/>
    </sheetView>
  </sheetViews>
  <sheetFormatPr defaultColWidth="9.625" defaultRowHeight="15.75"/>
  <cols>
    <col min="1" max="1" width="2.625" style="78" customWidth="1"/>
    <col min="2" max="2" width="35.375" style="78" customWidth="1"/>
    <col min="3" max="3" width="4.50390625" style="78" customWidth="1"/>
    <col min="4" max="4" width="4.875" style="78" customWidth="1"/>
    <col min="5" max="5" width="9.625" style="78" customWidth="1"/>
    <col min="6" max="6" width="2.625" style="78" customWidth="1"/>
    <col min="7" max="7" width="9.625" style="78" customWidth="1"/>
    <col min="8" max="8" width="2.625" style="78" customWidth="1"/>
    <col min="9" max="9" width="9.625" style="78" customWidth="1"/>
    <col min="10" max="10" width="2.625" style="78" customWidth="1"/>
    <col min="11" max="11" width="9.625" style="78" customWidth="1"/>
    <col min="12" max="12" width="2.625" style="78" customWidth="1"/>
    <col min="13" max="13" width="9.625" style="78" customWidth="1"/>
    <col min="14" max="14" width="2.625" style="78" customWidth="1"/>
    <col min="15" max="15" width="10.50390625" style="78" customWidth="1"/>
    <col min="16" max="16" width="2.625" style="78" customWidth="1"/>
    <col min="17" max="18" width="9.625" style="78" customWidth="1"/>
    <col min="19" max="21" width="9.625" style="78" hidden="1" customWidth="1"/>
    <col min="22" max="22" width="3.25390625" style="78" hidden="1" customWidth="1"/>
    <col min="23" max="25" width="9.625" style="78" hidden="1" customWidth="1"/>
    <col min="26" max="16384" width="9.625" style="78" customWidth="1"/>
  </cols>
  <sheetData>
    <row r="1" spans="2:19" ht="15.75">
      <c r="B1" s="212"/>
      <c r="S1" s="212"/>
    </row>
    <row r="2" spans="2:19" ht="15.75">
      <c r="B2" s="224" t="s">
        <v>59</v>
      </c>
      <c r="C2" s="91"/>
      <c r="D2" s="91"/>
      <c r="E2" s="225">
        <v>42917</v>
      </c>
      <c r="F2" s="79" t="s">
        <v>60</v>
      </c>
      <c r="G2" s="225">
        <v>44742</v>
      </c>
      <c r="S2" s="212">
        <f>IF(E3="FY18",T4,IF(E3="FY19",T5,IF(E3="FY20",T6,IF(E3="FY21",T7,IF(E3="FY22",T8,IF(E3="FY23",T9,IF(E3="FY24",T10)))))))</f>
        <v>45475</v>
      </c>
    </row>
    <row r="3" spans="2:21" ht="15.75">
      <c r="B3" s="224" t="s">
        <v>196</v>
      </c>
      <c r="C3" s="91"/>
      <c r="D3" s="91"/>
      <c r="E3" s="80" t="s">
        <v>206</v>
      </c>
      <c r="F3" s="81"/>
      <c r="G3" s="80"/>
      <c r="U3" s="78" t="s">
        <v>232</v>
      </c>
    </row>
    <row r="4" spans="2:25" ht="18.75">
      <c r="B4" s="224" t="s">
        <v>197</v>
      </c>
      <c r="E4" s="226">
        <f>S2</f>
        <v>45475</v>
      </c>
      <c r="S4" s="88">
        <v>43281</v>
      </c>
      <c r="T4" s="78">
        <f>(DATEVALUE("07/01/2017"))+1462</f>
        <v>44379</v>
      </c>
      <c r="U4" s="227" t="s">
        <v>181</v>
      </c>
      <c r="W4" s="93" t="s">
        <v>104</v>
      </c>
      <c r="X4" s="212"/>
      <c r="Y4" s="212"/>
    </row>
    <row r="5" spans="1:25" ht="15.75">
      <c r="A5" s="228"/>
      <c r="E5" s="240" t="s">
        <v>181</v>
      </c>
      <c r="F5" s="212"/>
      <c r="G5" s="229" t="s">
        <v>183</v>
      </c>
      <c r="I5" s="229" t="s">
        <v>200</v>
      </c>
      <c r="K5" s="240" t="s">
        <v>206</v>
      </c>
      <c r="M5" s="229" t="s">
        <v>207</v>
      </c>
      <c r="O5" s="240" t="s">
        <v>215</v>
      </c>
      <c r="Q5" s="238" t="s">
        <v>218</v>
      </c>
      <c r="S5" s="88">
        <v>43646</v>
      </c>
      <c r="T5" s="78">
        <f>(DATEVALUE("07/01/2018"))+1462</f>
        <v>44744</v>
      </c>
      <c r="U5" s="227" t="s">
        <v>183</v>
      </c>
      <c r="W5" s="238" t="s">
        <v>184</v>
      </c>
      <c r="X5" s="92" t="s">
        <v>185</v>
      </c>
      <c r="Y5" s="212"/>
    </row>
    <row r="6" spans="1:256" ht="15.75">
      <c r="A6" s="230"/>
      <c r="B6" s="215" t="s">
        <v>61</v>
      </c>
      <c r="C6" s="230"/>
      <c r="D6" s="230"/>
      <c r="E6" s="241" t="s">
        <v>198</v>
      </c>
      <c r="F6" s="212"/>
      <c r="G6" s="231" t="s">
        <v>199</v>
      </c>
      <c r="I6" s="231" t="s">
        <v>205</v>
      </c>
      <c r="K6" s="241" t="s">
        <v>212</v>
      </c>
      <c r="M6" s="241" t="s">
        <v>216</v>
      </c>
      <c r="O6" s="241" t="s">
        <v>217</v>
      </c>
      <c r="Q6" s="261" t="s">
        <v>225</v>
      </c>
      <c r="R6" s="230"/>
      <c r="S6" s="88">
        <v>44012</v>
      </c>
      <c r="T6" s="78">
        <f>(DATEVALUE("07/01/2019"))+1462</f>
        <v>45109</v>
      </c>
      <c r="U6" s="227" t="s">
        <v>200</v>
      </c>
      <c r="V6" s="230"/>
      <c r="W6" s="91" t="s">
        <v>201</v>
      </c>
      <c r="X6" s="237" t="s">
        <v>209</v>
      </c>
      <c r="Y6" s="91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30"/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  <c r="FP6" s="230"/>
      <c r="FQ6" s="230"/>
      <c r="FR6" s="230"/>
      <c r="FS6" s="230"/>
      <c r="FT6" s="230"/>
      <c r="FU6" s="230"/>
      <c r="FV6" s="230"/>
      <c r="FW6" s="230"/>
      <c r="FX6" s="230"/>
      <c r="FY6" s="230"/>
      <c r="FZ6" s="230"/>
      <c r="GA6" s="230"/>
      <c r="GB6" s="230"/>
      <c r="GC6" s="230"/>
      <c r="GD6" s="230"/>
      <c r="GE6" s="230"/>
      <c r="GF6" s="230"/>
      <c r="GG6" s="230"/>
      <c r="GH6" s="230"/>
      <c r="GI6" s="230"/>
      <c r="GJ6" s="230"/>
      <c r="GK6" s="230"/>
      <c r="GL6" s="230"/>
      <c r="GM6" s="230"/>
      <c r="GN6" s="230"/>
      <c r="GO6" s="230"/>
      <c r="GP6" s="230"/>
      <c r="GQ6" s="230"/>
      <c r="GR6" s="230"/>
      <c r="GS6" s="230"/>
      <c r="GT6" s="230"/>
      <c r="GU6" s="230"/>
      <c r="GV6" s="230"/>
      <c r="GW6" s="230"/>
      <c r="GX6" s="230"/>
      <c r="GY6" s="230"/>
      <c r="GZ6" s="230"/>
      <c r="HA6" s="230"/>
      <c r="HB6" s="230"/>
      <c r="HC6" s="230"/>
      <c r="HD6" s="230"/>
      <c r="HE6" s="230"/>
      <c r="HF6" s="230"/>
      <c r="HG6" s="230"/>
      <c r="HH6" s="230"/>
      <c r="HI6" s="230"/>
      <c r="HJ6" s="230"/>
      <c r="HK6" s="230"/>
      <c r="HL6" s="230"/>
      <c r="HM6" s="230"/>
      <c r="HN6" s="230"/>
      <c r="HO6" s="230"/>
      <c r="HP6" s="230"/>
      <c r="HQ6" s="230"/>
      <c r="HR6" s="230"/>
      <c r="HS6" s="230"/>
      <c r="HT6" s="230"/>
      <c r="HU6" s="230"/>
      <c r="HV6" s="230"/>
      <c r="HW6" s="230"/>
      <c r="HX6" s="230"/>
      <c r="HY6" s="230"/>
      <c r="HZ6" s="230"/>
      <c r="IA6" s="230"/>
      <c r="IB6" s="230"/>
      <c r="IC6" s="230"/>
      <c r="ID6" s="230"/>
      <c r="IE6" s="230"/>
      <c r="IF6" s="230"/>
      <c r="IG6" s="230"/>
      <c r="IH6" s="230"/>
      <c r="II6" s="230"/>
      <c r="IJ6" s="230"/>
      <c r="IK6" s="230"/>
      <c r="IL6" s="230"/>
      <c r="IM6" s="230"/>
      <c r="IN6" s="230"/>
      <c r="IO6" s="230"/>
      <c r="IP6" s="230"/>
      <c r="IQ6" s="230"/>
      <c r="IR6" s="230"/>
      <c r="IS6" s="230"/>
      <c r="IT6" s="230"/>
      <c r="IU6" s="230"/>
      <c r="IV6" s="230"/>
    </row>
    <row r="7" spans="2:25" ht="15.75">
      <c r="B7" s="82" t="s">
        <v>62</v>
      </c>
      <c r="E7" s="211">
        <v>0.302</v>
      </c>
      <c r="F7" s="212"/>
      <c r="G7" s="211">
        <v>0.311</v>
      </c>
      <c r="H7" s="212"/>
      <c r="I7" s="211">
        <v>0.321</v>
      </c>
      <c r="J7" s="212"/>
      <c r="K7" s="211">
        <v>0.326</v>
      </c>
      <c r="M7" s="211">
        <v>0.331</v>
      </c>
      <c r="O7" s="242">
        <v>0.336</v>
      </c>
      <c r="Q7" s="242">
        <v>0.341</v>
      </c>
      <c r="S7" s="88">
        <v>44377</v>
      </c>
      <c r="T7" s="78">
        <f>(DATEVALUE("07/01/2020"))+1462</f>
        <v>45475</v>
      </c>
      <c r="U7" s="227" t="s">
        <v>206</v>
      </c>
      <c r="W7" s="91" t="s">
        <v>202</v>
      </c>
      <c r="X7" s="237" t="s">
        <v>210</v>
      </c>
      <c r="Y7" s="212"/>
    </row>
    <row r="8" spans="2:25" ht="15.75">
      <c r="B8" s="82" t="s">
        <v>221</v>
      </c>
      <c r="E8" s="211">
        <v>0.364</v>
      </c>
      <c r="F8" s="212"/>
      <c r="G8" s="211">
        <v>0.397</v>
      </c>
      <c r="H8" s="212"/>
      <c r="I8" s="211">
        <v>0.407</v>
      </c>
      <c r="J8" s="212"/>
      <c r="K8" s="211">
        <v>0.412</v>
      </c>
      <c r="M8" s="211">
        <v>0.417</v>
      </c>
      <c r="O8" s="211">
        <v>0.422</v>
      </c>
      <c r="Q8" s="242">
        <v>0.427</v>
      </c>
      <c r="S8" s="88">
        <v>44742</v>
      </c>
      <c r="T8" s="78">
        <f>(DATEVALUE("07/01/2017"))+1462</f>
        <v>44379</v>
      </c>
      <c r="U8" s="239" t="s">
        <v>207</v>
      </c>
      <c r="W8" s="91" t="s">
        <v>208</v>
      </c>
      <c r="X8" s="238" t="s">
        <v>211</v>
      </c>
      <c r="Y8" s="91"/>
    </row>
    <row r="9" spans="2:25" ht="15.75">
      <c r="B9" s="82" t="s">
        <v>222</v>
      </c>
      <c r="E9" s="211">
        <v>0</v>
      </c>
      <c r="F9" s="212"/>
      <c r="G9" s="211">
        <v>0.38</v>
      </c>
      <c r="H9" s="212"/>
      <c r="I9" s="211">
        <v>0.39</v>
      </c>
      <c r="J9" s="212"/>
      <c r="K9" s="211">
        <v>0.395</v>
      </c>
      <c r="M9" s="211">
        <v>0.4</v>
      </c>
      <c r="O9" s="211">
        <v>0.405</v>
      </c>
      <c r="Q9" s="242">
        <v>0.41</v>
      </c>
      <c r="S9" s="88">
        <v>45107</v>
      </c>
      <c r="T9" s="78">
        <f>(DATEVALUE("07/01/2022"))+1462</f>
        <v>46205</v>
      </c>
      <c r="U9" s="227" t="s">
        <v>215</v>
      </c>
      <c r="W9" s="91" t="s">
        <v>213</v>
      </c>
      <c r="X9" s="237" t="s">
        <v>214</v>
      </c>
      <c r="Y9" s="91"/>
    </row>
    <row r="10" spans="2:25" ht="15.75">
      <c r="B10" s="82" t="s">
        <v>63</v>
      </c>
      <c r="E10" s="211">
        <v>0.446</v>
      </c>
      <c r="F10" s="212"/>
      <c r="G10" s="211">
        <v>0.479</v>
      </c>
      <c r="H10" s="212"/>
      <c r="I10" s="211">
        <v>0.489</v>
      </c>
      <c r="J10" s="212"/>
      <c r="K10" s="211">
        <v>0.494</v>
      </c>
      <c r="M10" s="211">
        <v>0.499</v>
      </c>
      <c r="O10" s="211">
        <v>0.504</v>
      </c>
      <c r="Q10" s="242">
        <v>0.509</v>
      </c>
      <c r="S10" s="88">
        <v>45473</v>
      </c>
      <c r="T10" s="78">
        <f>(DATEVALUE("07/01/2023"))+1462</f>
        <v>46570</v>
      </c>
      <c r="U10" s="227" t="s">
        <v>218</v>
      </c>
      <c r="W10" s="91" t="s">
        <v>219</v>
      </c>
      <c r="X10" s="237" t="s">
        <v>220</v>
      </c>
      <c r="Y10" s="91"/>
    </row>
    <row r="11" spans="2:25" ht="15.75">
      <c r="B11" s="82" t="s">
        <v>64</v>
      </c>
      <c r="E11" s="211">
        <v>0.074</v>
      </c>
      <c r="F11" s="212"/>
      <c r="G11" s="211">
        <v>0.07</v>
      </c>
      <c r="H11" s="212"/>
      <c r="I11" s="211">
        <v>0.075</v>
      </c>
      <c r="J11" s="212"/>
      <c r="K11" s="211">
        <v>0.075</v>
      </c>
      <c r="M11" s="211">
        <v>0.075</v>
      </c>
      <c r="O11" s="211">
        <v>0.075</v>
      </c>
      <c r="Q11" s="242">
        <v>0.075</v>
      </c>
      <c r="W11" s="91" t="s">
        <v>223</v>
      </c>
      <c r="X11" s="92" t="s">
        <v>224</v>
      </c>
      <c r="Y11" s="212"/>
    </row>
    <row r="12" spans="2:17" ht="15.75">
      <c r="B12" s="82" t="s">
        <v>85</v>
      </c>
      <c r="E12" s="211">
        <v>0.236</v>
      </c>
      <c r="F12" s="212"/>
      <c r="G12" s="211">
        <v>0.272</v>
      </c>
      <c r="H12" s="212"/>
      <c r="I12" s="211">
        <v>0.282</v>
      </c>
      <c r="J12" s="212"/>
      <c r="K12" s="211">
        <v>0.287</v>
      </c>
      <c r="M12" s="211">
        <v>0.292</v>
      </c>
      <c r="O12" s="211">
        <v>0.297</v>
      </c>
      <c r="Q12" s="242">
        <v>0.299</v>
      </c>
    </row>
    <row r="13" spans="5:15" ht="15.75">
      <c r="E13" s="211"/>
      <c r="F13" s="83"/>
      <c r="G13" s="211"/>
      <c r="I13" s="211"/>
      <c r="J13" s="234" t="s">
        <v>204</v>
      </c>
      <c r="K13" s="211"/>
      <c r="M13" s="211"/>
      <c r="O13" s="211"/>
    </row>
    <row r="14" spans="2:20" ht="15.75">
      <c r="B14" s="215" t="s">
        <v>186</v>
      </c>
      <c r="E14" s="83"/>
      <c r="F14" s="83"/>
      <c r="G14" s="83"/>
      <c r="I14" s="83"/>
      <c r="K14" s="83"/>
      <c r="M14" s="83"/>
      <c r="O14" s="83"/>
      <c r="Q14" s="83"/>
      <c r="S14" s="86" t="s">
        <v>181</v>
      </c>
      <c r="T14" s="212">
        <v>2019</v>
      </c>
    </row>
    <row r="15" spans="2:20" ht="15.75">
      <c r="B15" s="82" t="s">
        <v>187</v>
      </c>
      <c r="E15" s="211">
        <v>0.595</v>
      </c>
      <c r="F15" s="211"/>
      <c r="G15" s="211">
        <v>0.6</v>
      </c>
      <c r="H15" s="211"/>
      <c r="I15" s="211">
        <v>0.605</v>
      </c>
      <c r="J15" s="211"/>
      <c r="K15" s="211">
        <v>0.605</v>
      </c>
      <c r="L15" s="211"/>
      <c r="M15" s="211">
        <v>0.605</v>
      </c>
      <c r="O15" s="211">
        <f>+M15</f>
        <v>0.605</v>
      </c>
      <c r="Q15" s="211">
        <f>+O15</f>
        <v>0.605</v>
      </c>
      <c r="S15" s="86" t="s">
        <v>183</v>
      </c>
      <c r="T15" s="212">
        <v>2020</v>
      </c>
    </row>
    <row r="16" spans="2:22" ht="15.75">
      <c r="B16" s="82" t="s">
        <v>188</v>
      </c>
      <c r="E16" s="211">
        <v>0.57</v>
      </c>
      <c r="F16" s="211"/>
      <c r="G16" s="211">
        <v>0.57</v>
      </c>
      <c r="H16" s="211"/>
      <c r="I16" s="211">
        <v>0.57</v>
      </c>
      <c r="J16" s="211"/>
      <c r="K16" s="211">
        <v>0.57</v>
      </c>
      <c r="L16" s="211"/>
      <c r="M16" s="211">
        <v>0.57</v>
      </c>
      <c r="O16" s="211">
        <f>+M16</f>
        <v>0.57</v>
      </c>
      <c r="Q16" s="211">
        <f>+O16</f>
        <v>0.57</v>
      </c>
      <c r="S16" s="86" t="s">
        <v>200</v>
      </c>
      <c r="T16" s="212">
        <v>2021</v>
      </c>
      <c r="V16" s="88"/>
    </row>
    <row r="17" spans="2:20" ht="15.75">
      <c r="B17" s="82" t="s">
        <v>189</v>
      </c>
      <c r="E17" s="211">
        <v>0.3</v>
      </c>
      <c r="F17" s="211"/>
      <c r="G17" s="211">
        <v>0.3</v>
      </c>
      <c r="H17" s="211"/>
      <c r="I17" s="211">
        <v>0.3</v>
      </c>
      <c r="J17" s="211"/>
      <c r="K17" s="211">
        <v>0.3</v>
      </c>
      <c r="L17" s="211"/>
      <c r="M17" s="211">
        <v>0.3</v>
      </c>
      <c r="O17" s="211">
        <f>+M17</f>
        <v>0.3</v>
      </c>
      <c r="Q17" s="211">
        <f>+O17</f>
        <v>0.3</v>
      </c>
      <c r="S17" s="86" t="s">
        <v>206</v>
      </c>
      <c r="T17" s="212">
        <v>2022</v>
      </c>
    </row>
    <row r="18" spans="5:20" ht="15.75">
      <c r="E18" s="211"/>
      <c r="F18" s="83"/>
      <c r="G18" s="211"/>
      <c r="H18" s="83"/>
      <c r="I18" s="211"/>
      <c r="J18" s="83"/>
      <c r="K18" s="211"/>
      <c r="M18" s="211"/>
      <c r="O18" s="211"/>
      <c r="Q18" s="211"/>
      <c r="S18" s="86" t="s">
        <v>207</v>
      </c>
      <c r="T18" s="212">
        <v>2023</v>
      </c>
    </row>
    <row r="19" spans="2:26" ht="15.75">
      <c r="B19" s="215" t="s">
        <v>203</v>
      </c>
      <c r="E19" s="83"/>
      <c r="F19" s="83"/>
      <c r="G19" s="83"/>
      <c r="H19" s="83"/>
      <c r="I19" s="83"/>
      <c r="J19" s="83"/>
      <c r="K19" s="83"/>
      <c r="M19" s="83"/>
      <c r="O19" s="83"/>
      <c r="Q19" s="83"/>
      <c r="S19" s="86" t="s">
        <v>215</v>
      </c>
      <c r="T19" s="212">
        <v>2024</v>
      </c>
      <c r="Z19" s="234"/>
    </row>
    <row r="20" spans="2:20" ht="15.75">
      <c r="B20" s="82" t="s">
        <v>187</v>
      </c>
      <c r="E20" s="211">
        <v>0.26</v>
      </c>
      <c r="F20" s="83"/>
      <c r="G20" s="211">
        <v>0.26</v>
      </c>
      <c r="H20" s="83"/>
      <c r="I20" s="211">
        <v>0.26</v>
      </c>
      <c r="J20" s="83"/>
      <c r="K20" s="211">
        <v>0.26</v>
      </c>
      <c r="M20" s="211">
        <v>0.26</v>
      </c>
      <c r="O20" s="211">
        <v>0.26</v>
      </c>
      <c r="Q20" s="211">
        <v>0.26</v>
      </c>
      <c r="S20" s="86" t="s">
        <v>218</v>
      </c>
      <c r="T20" s="212">
        <v>2025</v>
      </c>
    </row>
    <row r="21" spans="2:17" ht="15.75">
      <c r="B21" s="82" t="s">
        <v>188</v>
      </c>
      <c r="E21" s="211">
        <v>0.26</v>
      </c>
      <c r="F21" s="83"/>
      <c r="G21" s="211">
        <v>0.26</v>
      </c>
      <c r="H21" s="83"/>
      <c r="I21" s="211">
        <v>0.26</v>
      </c>
      <c r="J21" s="83"/>
      <c r="K21" s="211">
        <v>0.26</v>
      </c>
      <c r="M21" s="211">
        <v>0.26</v>
      </c>
      <c r="O21" s="211">
        <v>0.26</v>
      </c>
      <c r="Q21" s="211">
        <v>0.26</v>
      </c>
    </row>
    <row r="22" spans="2:21" ht="15.75">
      <c r="B22" s="82" t="s">
        <v>189</v>
      </c>
      <c r="E22" s="211">
        <v>0.26</v>
      </c>
      <c r="F22" s="83"/>
      <c r="G22" s="211">
        <v>0.26</v>
      </c>
      <c r="H22" s="83"/>
      <c r="I22" s="211">
        <v>0.26</v>
      </c>
      <c r="J22" s="83"/>
      <c r="K22" s="211">
        <v>0.26</v>
      </c>
      <c r="M22" s="211">
        <v>0.26</v>
      </c>
      <c r="O22" s="211">
        <v>0.26</v>
      </c>
      <c r="Q22" s="211">
        <v>0.26</v>
      </c>
      <c r="U22" s="212"/>
    </row>
    <row r="24" spans="1:256" ht="15.75">
      <c r="A24" s="230"/>
      <c r="B24" s="248" t="s">
        <v>96</v>
      </c>
      <c r="C24" s="249"/>
      <c r="D24" s="249"/>
      <c r="E24" s="250" t="s">
        <v>21</v>
      </c>
      <c r="F24" s="249"/>
      <c r="G24" s="250" t="s">
        <v>52</v>
      </c>
      <c r="H24" s="249"/>
      <c r="I24" s="250" t="s">
        <v>54</v>
      </c>
      <c r="J24" s="249"/>
      <c r="K24" s="250" t="s">
        <v>56</v>
      </c>
      <c r="L24" s="249"/>
      <c r="M24" s="250" t="s">
        <v>58</v>
      </c>
      <c r="N24" s="249"/>
      <c r="O24" s="250" t="s">
        <v>97</v>
      </c>
      <c r="P24" s="249"/>
      <c r="Q24" s="250" t="s">
        <v>98</v>
      </c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0"/>
      <c r="FL24" s="230"/>
      <c r="FM24" s="230"/>
      <c r="FN24" s="230"/>
      <c r="FO24" s="230"/>
      <c r="FP24" s="230"/>
      <c r="FQ24" s="230"/>
      <c r="FR24" s="230"/>
      <c r="FS24" s="230"/>
      <c r="FT24" s="230"/>
      <c r="FU24" s="230"/>
      <c r="FV24" s="230"/>
      <c r="FW24" s="230"/>
      <c r="FX24" s="230"/>
      <c r="FY24" s="230"/>
      <c r="FZ24" s="230"/>
      <c r="GA24" s="230"/>
      <c r="GB24" s="230"/>
      <c r="GC24" s="230"/>
      <c r="GD24" s="230"/>
      <c r="GE24" s="230"/>
      <c r="GF24" s="230"/>
      <c r="GG24" s="230"/>
      <c r="GH24" s="230"/>
      <c r="GI24" s="230"/>
      <c r="GJ24" s="230"/>
      <c r="GK24" s="230"/>
      <c r="GL24" s="230"/>
      <c r="GM24" s="230"/>
      <c r="GN24" s="230"/>
      <c r="GO24" s="230"/>
      <c r="GP24" s="230"/>
      <c r="GQ24" s="230"/>
      <c r="GR24" s="230"/>
      <c r="GS24" s="230"/>
      <c r="GT24" s="230"/>
      <c r="GU24" s="230"/>
      <c r="GV24" s="230"/>
      <c r="GW24" s="230"/>
      <c r="GX24" s="230"/>
      <c r="GY24" s="230"/>
      <c r="GZ24" s="230"/>
      <c r="HA24" s="230"/>
      <c r="HB24" s="230"/>
      <c r="HC24" s="230"/>
      <c r="HD24" s="230"/>
      <c r="HE24" s="230"/>
      <c r="HF24" s="230"/>
      <c r="HG24" s="230"/>
      <c r="HH24" s="230"/>
      <c r="HI24" s="230"/>
      <c r="HJ24" s="230"/>
      <c r="HK24" s="230"/>
      <c r="HL24" s="230"/>
      <c r="HM24" s="230"/>
      <c r="HN24" s="230"/>
      <c r="HO24" s="230"/>
      <c r="HP24" s="230"/>
      <c r="HQ24" s="230"/>
      <c r="HR24" s="230"/>
      <c r="HS24" s="230"/>
      <c r="HT24" s="230"/>
      <c r="HU24" s="230"/>
      <c r="HV24" s="230"/>
      <c r="HW24" s="230"/>
      <c r="HX24" s="230"/>
      <c r="HY24" s="230"/>
      <c r="HZ24" s="230"/>
      <c r="IA24" s="230"/>
      <c r="IB24" s="230"/>
      <c r="IC24" s="230"/>
      <c r="ID24" s="230"/>
      <c r="IE24" s="230"/>
      <c r="IF24" s="230"/>
      <c r="IG24" s="230"/>
      <c r="IH24" s="230"/>
      <c r="II24" s="230"/>
      <c r="IJ24" s="230"/>
      <c r="IK24" s="230"/>
      <c r="IL24" s="230"/>
      <c r="IM24" s="230"/>
      <c r="IN24" s="230"/>
      <c r="IO24" s="230"/>
      <c r="IP24" s="230"/>
      <c r="IQ24" s="230"/>
      <c r="IR24" s="230"/>
      <c r="IS24" s="230"/>
      <c r="IT24" s="230"/>
      <c r="IU24" s="230"/>
      <c r="IV24" s="230"/>
    </row>
    <row r="25" spans="2:17" ht="15.75">
      <c r="B25" s="251" t="s">
        <v>62</v>
      </c>
      <c r="C25" s="252"/>
      <c r="D25" s="252"/>
      <c r="E25" s="253">
        <f aca="true" t="shared" si="0" ref="E25:E30">IF($E$3="FY18",E7,IF($E$3="FY19",G7,IF($E$3="FY20",I7,IF($E$3="FY21",K7,IF($E$3="FY22",M7,IF($E$3="FY23",O7,IF($E$3="FY24",Q7,0)))))))</f>
        <v>0.326</v>
      </c>
      <c r="F25" s="253"/>
      <c r="G25" s="253">
        <f aca="true" t="shared" si="1" ref="G25:G30">IF($E$3="FY18",G7,IF($E$3="FY19",I7,IF($E$3="FY20",K7,IF($E$3="FY21",M7,IF($E$3="FY22",O7,IF($E$3="FY23",Q7,IF($E$3="FY24",Q7+0.01,0)))))))</f>
        <v>0.331</v>
      </c>
      <c r="H25" s="253"/>
      <c r="I25" s="253">
        <f aca="true" t="shared" si="2" ref="I25:I30">IF($E$3="FY18",I7,IF($E$3="FY19",K7,IF($E$3="FY20",M7,IF($E$3="FY21",O7,IF($E$3="FY22",Q7,IF($E$3="FY23",Q7+0.01,IF($E$3="FY24",Q7+0.015,0)))))))</f>
        <v>0.336</v>
      </c>
      <c r="J25" s="253"/>
      <c r="K25" s="253">
        <f aca="true" t="shared" si="3" ref="K25:K30">IF($E$3="FY18",K7,IF($E$3="FY19",M7,IF($E$3="FY20",O7,IF($E$3="FY21",Q7,IF($E$3="FY22",Q7+0.005,IF($E$3="FY23",Q7+0.01,IF($E$3="FY24",Q7+0.015,0)))))))</f>
        <v>0.341</v>
      </c>
      <c r="L25" s="253"/>
      <c r="M25" s="253">
        <f aca="true" t="shared" si="4" ref="M25:M30">IF($E$3="FY18",M7,IF($E$3="FY19",O7,IF($E$3="FY20",Q7,IF($E$3="FY21",Q7+0.005,IF($E$3="FY22",Q7+0.01,IF($E$3="FY23",Q7+0.015,IF($E$3="FY24",Q7+0.02,0)))))))</f>
        <v>0.34600000000000003</v>
      </c>
      <c r="N25" s="253"/>
      <c r="O25" s="253">
        <f aca="true" t="shared" si="5" ref="O25:O30">IF($E$3="FY18",O7,IF($E$3="FY19",Q7,IF($E$3="FY20",Q7+0.005,IF($E$3="FY21",Q7+0.01,IF($E$3="FY22",Q7+0.015,IF($E$3="FY23",Q7+0.02,IF($E$3="FY24",Q7+0.025,0)))))))</f>
        <v>0.35100000000000003</v>
      </c>
      <c r="P25" s="253"/>
      <c r="Q25" s="253">
        <f aca="true" t="shared" si="6" ref="Q25:Q30">IF($E$3="FY18",Q7,IF($E$3="FY19",Q7+0.005,IF($E$3="FY20",Q7+0.01,IF($E$3="FY21",Q7+0.015,IF($E$3="FY22",Q7+0.02,IF($E$3="FY23",Q7+0.025,IF($E$3="FY24",Q7+0.03,0)))))))</f>
        <v>0.35600000000000004</v>
      </c>
    </row>
    <row r="26" spans="2:17" ht="15.75">
      <c r="B26" s="251" t="s">
        <v>84</v>
      </c>
      <c r="C26" s="252"/>
      <c r="D26" s="252"/>
      <c r="E26" s="253">
        <f t="shared" si="0"/>
        <v>0.412</v>
      </c>
      <c r="F26" s="252"/>
      <c r="G26" s="253">
        <f t="shared" si="1"/>
        <v>0.417</v>
      </c>
      <c r="H26" s="253"/>
      <c r="I26" s="253">
        <f t="shared" si="2"/>
        <v>0.422</v>
      </c>
      <c r="J26" s="252"/>
      <c r="K26" s="253">
        <f t="shared" si="3"/>
        <v>0.427</v>
      </c>
      <c r="L26" s="252"/>
      <c r="M26" s="253">
        <f t="shared" si="4"/>
        <v>0.432</v>
      </c>
      <c r="N26" s="252"/>
      <c r="O26" s="253">
        <f t="shared" si="5"/>
        <v>0.437</v>
      </c>
      <c r="P26" s="252"/>
      <c r="Q26" s="253">
        <f t="shared" si="6"/>
        <v>0.442</v>
      </c>
    </row>
    <row r="27" spans="2:17" ht="15.75">
      <c r="B27" s="247" t="s">
        <v>222</v>
      </c>
      <c r="C27" s="252"/>
      <c r="D27" s="252"/>
      <c r="E27" s="253">
        <f t="shared" si="0"/>
        <v>0.395</v>
      </c>
      <c r="F27" s="252"/>
      <c r="G27" s="253">
        <f t="shared" si="1"/>
        <v>0.4</v>
      </c>
      <c r="H27" s="253"/>
      <c r="I27" s="253">
        <f t="shared" si="2"/>
        <v>0.405</v>
      </c>
      <c r="J27" s="252"/>
      <c r="K27" s="253">
        <f t="shared" si="3"/>
        <v>0.41</v>
      </c>
      <c r="L27" s="252"/>
      <c r="M27" s="253">
        <f t="shared" si="4"/>
        <v>0.415</v>
      </c>
      <c r="N27" s="252"/>
      <c r="O27" s="253">
        <f t="shared" si="5"/>
        <v>0.42</v>
      </c>
      <c r="P27" s="252"/>
      <c r="Q27" s="253">
        <f t="shared" si="6"/>
        <v>0.425</v>
      </c>
    </row>
    <row r="28" spans="2:17" ht="15.75">
      <c r="B28" s="251" t="s">
        <v>63</v>
      </c>
      <c r="C28" s="252"/>
      <c r="D28" s="252"/>
      <c r="E28" s="253">
        <f t="shared" si="0"/>
        <v>0.494</v>
      </c>
      <c r="F28" s="252"/>
      <c r="G28" s="253">
        <f t="shared" si="1"/>
        <v>0.499</v>
      </c>
      <c r="H28" s="253"/>
      <c r="I28" s="253">
        <f t="shared" si="2"/>
        <v>0.504</v>
      </c>
      <c r="J28" s="252"/>
      <c r="K28" s="253">
        <f t="shared" si="3"/>
        <v>0.509</v>
      </c>
      <c r="L28" s="252"/>
      <c r="M28" s="253">
        <f t="shared" si="4"/>
        <v>0.514</v>
      </c>
      <c r="N28" s="252"/>
      <c r="O28" s="253">
        <f t="shared" si="5"/>
        <v>0.519</v>
      </c>
      <c r="P28" s="252"/>
      <c r="Q28" s="253">
        <f t="shared" si="6"/>
        <v>0.524</v>
      </c>
    </row>
    <row r="29" spans="2:17" ht="15.75">
      <c r="B29" s="251" t="s">
        <v>64</v>
      </c>
      <c r="C29" s="252"/>
      <c r="D29" s="252"/>
      <c r="E29" s="253">
        <f t="shared" si="0"/>
        <v>0.075</v>
      </c>
      <c r="F29" s="252"/>
      <c r="G29" s="253">
        <f t="shared" si="1"/>
        <v>0.075</v>
      </c>
      <c r="H29" s="253"/>
      <c r="I29" s="253">
        <f t="shared" si="2"/>
        <v>0.075</v>
      </c>
      <c r="J29" s="252"/>
      <c r="K29" s="253">
        <f t="shared" si="3"/>
        <v>0.075</v>
      </c>
      <c r="L29" s="252"/>
      <c r="M29" s="253">
        <f t="shared" si="4"/>
        <v>0.08</v>
      </c>
      <c r="N29" s="252"/>
      <c r="O29" s="253">
        <f t="shared" si="5"/>
        <v>0.08499999999999999</v>
      </c>
      <c r="P29" s="252"/>
      <c r="Q29" s="253">
        <f t="shared" si="6"/>
        <v>0.09</v>
      </c>
    </row>
    <row r="30" spans="2:17" ht="15.75">
      <c r="B30" s="251" t="s">
        <v>85</v>
      </c>
      <c r="C30" s="252"/>
      <c r="D30" s="252"/>
      <c r="E30" s="253">
        <f t="shared" si="0"/>
        <v>0.287</v>
      </c>
      <c r="F30" s="252"/>
      <c r="G30" s="253">
        <f t="shared" si="1"/>
        <v>0.292</v>
      </c>
      <c r="H30" s="253"/>
      <c r="I30" s="253">
        <f t="shared" si="2"/>
        <v>0.297</v>
      </c>
      <c r="J30" s="252"/>
      <c r="K30" s="253">
        <f t="shared" si="3"/>
        <v>0.299</v>
      </c>
      <c r="L30" s="252"/>
      <c r="M30" s="253">
        <f t="shared" si="4"/>
        <v>0.304</v>
      </c>
      <c r="N30" s="252"/>
      <c r="O30" s="253">
        <f t="shared" si="5"/>
        <v>0.309</v>
      </c>
      <c r="P30" s="252"/>
      <c r="Q30" s="253">
        <f t="shared" si="6"/>
        <v>0.314</v>
      </c>
    </row>
    <row r="31" spans="2:17" ht="15.75">
      <c r="B31" s="254" t="s">
        <v>191</v>
      </c>
      <c r="C31" s="252"/>
      <c r="D31" s="252"/>
      <c r="E31" s="253">
        <f>IF($E$3="FY18",E15,IF($E$3="FY19",G15,IF($E$3="FY20",I15,IF($E$3="FY21",K15,IF($E$3="FY22",M15,IF($E$3="FY23",O15,IF($E$3="FY24",Q15,0)))))))</f>
        <v>0.605</v>
      </c>
      <c r="F31" s="252"/>
      <c r="G31" s="253">
        <f>IF($E$3="FY18",G15,IF($E$3="FY19",I15,IF($E$3="FY20",K15,IF($E$3="FY21",M15,IF($E$3="FY22",O15,IF($E$3="FY23",Q15,IF($E$3="FY24",Q15,0)))))))</f>
        <v>0.605</v>
      </c>
      <c r="H31" s="253"/>
      <c r="I31" s="253">
        <f>IF($E$3="FY18",I15,IF($E$3="FY19",K15,IF($E$3="FY20",M15,IF($E$3="FY21",O15,IF($E$3="FY22",Q15,IF($E$3="FY23",Q15,IF($E$3="FY24",Q15,0)))))))</f>
        <v>0.605</v>
      </c>
      <c r="J31" s="252"/>
      <c r="K31" s="253">
        <f>IF($E$3="FY18",K15,IF($E$3="FY19",M15,IF($E$3="FY20",O15,IF($E$3="FY21",Q15,IF($E$3="FY22",Q15,IF($E$3="FY23",Q15,IF($E$3="FY24",Q15,0)))))))</f>
        <v>0.605</v>
      </c>
      <c r="L31" s="252"/>
      <c r="M31" s="253">
        <f>IF($E$3="FY18",M15,IF($E$3="FY19",O15,IF($E$3="FY20",Q15,IF($E$3="FY21",Q15,IF($E$3="FY22",Q15,IF($E$3="FY23",Q15,IF($E$3="FY24",Q15,0)))))))</f>
        <v>0.605</v>
      </c>
      <c r="N31" s="252"/>
      <c r="O31" s="253">
        <f>IF($E$3="FY18",O15,IF($E$3="FY19",Q15,IF($E$3="FY20",Q15,IF($E$3="FY21",Q15,IF($E$3="FY22",Q15,IF($E$3="FY23",Q15,IF($E$3="FY24",Q15,0)))))))</f>
        <v>0.605</v>
      </c>
      <c r="P31" s="252"/>
      <c r="Q31" s="253">
        <f>IF($E$3="FY18",Q15,IF($E$3="FY19",Q15,IF($E$3="FY20",Q15,IF($E$3="FY21",Q15,IF($E$3="FY22",Q15,IF($E$3="FY23",Q15,IF($E$3="FY24",Q15,0)))))))</f>
        <v>0.605</v>
      </c>
    </row>
    <row r="32" spans="2:17" ht="15.75">
      <c r="B32" s="254" t="s">
        <v>192</v>
      </c>
      <c r="C32" s="252"/>
      <c r="D32" s="252"/>
      <c r="E32" s="253">
        <f>IF($E$3="FY18",E16,IF($E$3="FY19",G16,IF($E$3="FY20",I16,IF($E$3="FY21",K16,IF($E$3="FY22",M16,IF($E$3="FY23",O16,IF($E$3="FY24",Q16,0)))))))</f>
        <v>0.57</v>
      </c>
      <c r="F32" s="252"/>
      <c r="G32" s="253">
        <f>IF($E$3="FY18",G16,IF($E$3="FY19",I16,IF($E$3="FY20",K16,IF($E$3="FY21",M16,IF($E$3="FY22",O16,IF($E$3="FY23",Q16,IF($E$3="FY24",Q16,0)))))))</f>
        <v>0.57</v>
      </c>
      <c r="H32" s="253"/>
      <c r="I32" s="253">
        <f>IF($E$3="FY18",I16,IF($E$3="FY19",K16,IF($E$3="FY20",M16,IF($E$3="FY21",O16,IF($E$3="FY22",Q16,IF($E$3="FY23",Q16,IF($E$3="FY24",Q16,0)))))))</f>
        <v>0.57</v>
      </c>
      <c r="J32" s="252"/>
      <c r="K32" s="253">
        <f>IF($E$3="FY18",K16,IF($E$3="FY19",M16,IF($E$3="FY20",O16,IF($E$3="FY21",Q16,IF($E$3="FY22",Q16,IF($E$3="FY23",Q16,IF($E$3="FY24",Q16,0)))))))</f>
        <v>0.57</v>
      </c>
      <c r="L32" s="252"/>
      <c r="M32" s="253">
        <f>IF($E$3="FY18",M16,IF($E$3="FY19",O16,IF($E$3="FY20",Q16,IF($E$3="FY21",Q16,IF($E$3="FY22",Q16,IF($E$3="FY23",Q16,IF($E$3="FY24",Q16,0)))))))</f>
        <v>0.57</v>
      </c>
      <c r="N32" s="252"/>
      <c r="O32" s="253">
        <f>IF($E$3="FY18",O16,IF($E$3="FY19",Q16,IF($E$3="FY20",Q15,IF($E$3="FY21",Q16,IF($E$3="FY22",Q16,IF($E$3="FY23",Q16,IF($E$3="FY24",Q16,0)))))))</f>
        <v>0.57</v>
      </c>
      <c r="P32" s="252"/>
      <c r="Q32" s="253">
        <f>IF($E$3="FY18",Q16,IF($E$3="FY19",Q16,IF($E$3="FY20",Q15,IF($E$3="FY21",Q16,IF($E$3="FY22",Q16,IF($E$3="FY23",Q16,IF($E$3="FY24",Q16,0)))))))</f>
        <v>0.57</v>
      </c>
    </row>
    <row r="33" spans="2:17" ht="15.75">
      <c r="B33" s="254" t="s">
        <v>193</v>
      </c>
      <c r="C33" s="252"/>
      <c r="D33" s="252"/>
      <c r="E33" s="253">
        <f>IF($E$3="FY18",E17,IF($E$3="FY19",G17,IF($E$3="FY20",I17,IF($E$3="FY21",K17,IF($E$3="FY22",M17,IF($E$3="FY23",O17,IF($E$3="FY24",Q17,0)))))))</f>
        <v>0.3</v>
      </c>
      <c r="F33" s="252"/>
      <c r="G33" s="253">
        <f>IF($E$3="FY18",G17,IF($E$3="FY19",I17,IF($E$3="FY20",K17,IF($E$3="FY21",M17,IF($E$3="FY22",O17,IF($E$3="FY23",Q17,IF($E$3="FY24",Q17,0)))))))</f>
        <v>0.3</v>
      </c>
      <c r="H33" s="253"/>
      <c r="I33" s="253">
        <f>IF($E$3="FY18",I17,IF($E$3="FY19",K17,IF($E$3="FY20",M17,IF($E$3="FY21",O17,IF($E$3="FY22",Q17,IF($E$3="FY23",Q17,IF($E$3="FY24",Q17,0)))))))</f>
        <v>0.3</v>
      </c>
      <c r="J33" s="252"/>
      <c r="K33" s="253">
        <f>IF($E$3="FY18",K17,IF($E$3="FY19",M17,IF($E$3="FY20",O17,IF($E$3="FY21",Q17,IF($E$3="FY22",Q17,IF($E$3="FY23",Q17,IF($E$3="FY24",Q17,0)))))))</f>
        <v>0.3</v>
      </c>
      <c r="L33" s="252"/>
      <c r="M33" s="253">
        <f>IF($E$3="FY18",M17,IF($E$3="FY19",O17,IF($E$3="FY20",Q17,IF($E$3="FY21",Q17,IF($E$3="FY22",Q17,IF($E$3="FY23",Q17,IF($E$3="FY24",Q17,0)))))))</f>
        <v>0.3</v>
      </c>
      <c r="N33" s="252"/>
      <c r="O33" s="253">
        <f>IF($E$3="FY18",O17,IF($E$3="FY19",Q17,IF($E$3="FY20",Q15,IF($E$3="FY21",Q17,IF($E$3="FY22",Q17,IF($E$3="FY23",Q17,IF($E$3="FY24",Q17,0)))))))</f>
        <v>0.3</v>
      </c>
      <c r="P33" s="252"/>
      <c r="Q33" s="253">
        <f>IF($E$3="FY18",Q17,IF($E$3="FY19",Q17,IF($E$3="FY20",Q15,IF($E$3="FY21",Q17,IF($E$3="FY22",Q17,IF($E$3="FY23",Q17,IF($E$3="FY24",Q17,0)))))))</f>
        <v>0.3</v>
      </c>
    </row>
    <row r="34" spans="2:17" ht="15.75">
      <c r="B34" s="82" t="s">
        <v>1</v>
      </c>
      <c r="Q34" s="243"/>
    </row>
    <row r="35" spans="2:5" ht="15.75">
      <c r="B35" s="215" t="s">
        <v>65</v>
      </c>
      <c r="E35" s="150"/>
    </row>
    <row r="36" spans="3:13" ht="15.75">
      <c r="C36" s="82" t="s">
        <v>1</v>
      </c>
      <c r="D36" s="82" t="s">
        <v>1</v>
      </c>
      <c r="J36" s="230"/>
      <c r="K36" s="230"/>
      <c r="M36" s="230"/>
    </row>
    <row r="37" spans="2:17" ht="15.75">
      <c r="B37" s="215" t="s">
        <v>61</v>
      </c>
      <c r="C37" s="232" t="s">
        <v>66</v>
      </c>
      <c r="D37" s="232"/>
      <c r="E37" s="231" t="s">
        <v>7</v>
      </c>
      <c r="F37" s="233"/>
      <c r="G37" s="231" t="s">
        <v>51</v>
      </c>
      <c r="H37" s="233"/>
      <c r="I37" s="231" t="s">
        <v>53</v>
      </c>
      <c r="K37" s="231" t="s">
        <v>55</v>
      </c>
      <c r="M37" s="231" t="s">
        <v>57</v>
      </c>
      <c r="O37" s="231" t="s">
        <v>67</v>
      </c>
      <c r="Q37" s="231" t="s">
        <v>68</v>
      </c>
    </row>
    <row r="38" spans="2:17" ht="15.75">
      <c r="B38" s="82" t="s">
        <v>22</v>
      </c>
      <c r="C38" s="84">
        <f>IF(MONTH($E$2)&lt;MONTH(E4),ABS((MONTH($E$2)-MONTH(E4))),12-(MONTH($E$2)-MONTH(E4)))</f>
        <v>12</v>
      </c>
      <c r="D38" s="84">
        <f aca="true" t="shared" si="7" ref="D38:D43">12-C38</f>
        <v>0</v>
      </c>
      <c r="E38" s="83">
        <f aca="true" t="shared" si="8" ref="E38:E43">((E25*C38)+(G25*D38))/12</f>
        <v>0.326</v>
      </c>
      <c r="F38" s="83"/>
      <c r="G38" s="83">
        <f aca="true" t="shared" si="9" ref="G38:G43">((G25*C38)+(I25*D38))/12</f>
        <v>0.331</v>
      </c>
      <c r="H38" s="83"/>
      <c r="I38" s="83">
        <f aca="true" t="shared" si="10" ref="I38:I43">((I25*C38)+(K25*D38))/12</f>
        <v>0.336</v>
      </c>
      <c r="J38" s="83"/>
      <c r="K38" s="83">
        <f aca="true" t="shared" si="11" ref="K38:K43">((K25*C38)+(M25*D38))/12</f>
        <v>0.341</v>
      </c>
      <c r="M38" s="83">
        <f aca="true" t="shared" si="12" ref="M38:M43">((M25*C38)+(O25*D38))/12</f>
        <v>0.34600000000000003</v>
      </c>
      <c r="O38" s="83">
        <f aca="true" t="shared" si="13" ref="O38:O43">((O25*C38)+(Q25*D38))/12</f>
        <v>0.35100000000000003</v>
      </c>
      <c r="Q38" s="83">
        <f aca="true" t="shared" si="14" ref="Q38:Q43">O38+0.005</f>
        <v>0.35600000000000004</v>
      </c>
    </row>
    <row r="39" spans="2:17" ht="15.75">
      <c r="B39" s="82" t="s">
        <v>86</v>
      </c>
      <c r="C39" s="84">
        <f>$C$38</f>
        <v>12</v>
      </c>
      <c r="D39" s="84">
        <f t="shared" si="7"/>
        <v>0</v>
      </c>
      <c r="E39" s="83">
        <f t="shared" si="8"/>
        <v>0.412</v>
      </c>
      <c r="F39" s="83"/>
      <c r="G39" s="83">
        <f t="shared" si="9"/>
        <v>0.417</v>
      </c>
      <c r="H39" s="83"/>
      <c r="I39" s="83">
        <f t="shared" si="10"/>
        <v>0.422</v>
      </c>
      <c r="J39" s="83"/>
      <c r="K39" s="83">
        <f t="shared" si="11"/>
        <v>0.427</v>
      </c>
      <c r="M39" s="83">
        <f t="shared" si="12"/>
        <v>0.432</v>
      </c>
      <c r="O39" s="83">
        <f t="shared" si="13"/>
        <v>0.437</v>
      </c>
      <c r="Q39" s="83">
        <f t="shared" si="14"/>
        <v>0.442</v>
      </c>
    </row>
    <row r="40" spans="2:17" ht="15.75">
      <c r="B40" s="82" t="s">
        <v>222</v>
      </c>
      <c r="C40" s="84">
        <f>$C$38</f>
        <v>12</v>
      </c>
      <c r="D40" s="84">
        <f t="shared" si="7"/>
        <v>0</v>
      </c>
      <c r="E40" s="83">
        <f t="shared" si="8"/>
        <v>0.395</v>
      </c>
      <c r="F40" s="83"/>
      <c r="G40" s="83">
        <f t="shared" si="9"/>
        <v>0.4000000000000001</v>
      </c>
      <c r="H40" s="83"/>
      <c r="I40" s="83">
        <f t="shared" si="10"/>
        <v>0.405</v>
      </c>
      <c r="J40" s="83"/>
      <c r="K40" s="83">
        <f t="shared" si="11"/>
        <v>0.41</v>
      </c>
      <c r="M40" s="83">
        <f t="shared" si="12"/>
        <v>0.415</v>
      </c>
      <c r="O40" s="83">
        <f t="shared" si="13"/>
        <v>0.42</v>
      </c>
      <c r="Q40" s="83">
        <f t="shared" si="14"/>
        <v>0.425</v>
      </c>
    </row>
    <row r="41" spans="2:17" ht="15.75">
      <c r="B41" s="82" t="s">
        <v>63</v>
      </c>
      <c r="C41" s="84">
        <f>$C$38</f>
        <v>12</v>
      </c>
      <c r="D41" s="84">
        <f t="shared" si="7"/>
        <v>0</v>
      </c>
      <c r="E41" s="83">
        <f t="shared" si="8"/>
        <v>0.494</v>
      </c>
      <c r="F41" s="83"/>
      <c r="G41" s="83">
        <f t="shared" si="9"/>
        <v>0.49899999999999994</v>
      </c>
      <c r="H41" s="83"/>
      <c r="I41" s="83">
        <f t="shared" si="10"/>
        <v>0.504</v>
      </c>
      <c r="J41" s="83"/>
      <c r="K41" s="83">
        <f t="shared" si="11"/>
        <v>0.509</v>
      </c>
      <c r="M41" s="83">
        <f t="shared" si="12"/>
        <v>0.514</v>
      </c>
      <c r="O41" s="83">
        <f t="shared" si="13"/>
        <v>0.519</v>
      </c>
      <c r="Q41" s="83">
        <f t="shared" si="14"/>
        <v>0.524</v>
      </c>
    </row>
    <row r="42" spans="2:17" ht="15.75">
      <c r="B42" s="82" t="s">
        <v>64</v>
      </c>
      <c r="C42" s="84">
        <f>$C$38</f>
        <v>12</v>
      </c>
      <c r="D42" s="84">
        <f t="shared" si="7"/>
        <v>0</v>
      </c>
      <c r="E42" s="83">
        <f t="shared" si="8"/>
        <v>0.075</v>
      </c>
      <c r="F42" s="83"/>
      <c r="G42" s="83">
        <f t="shared" si="9"/>
        <v>0.075</v>
      </c>
      <c r="H42" s="83"/>
      <c r="I42" s="83">
        <f t="shared" si="10"/>
        <v>0.075</v>
      </c>
      <c r="J42" s="83"/>
      <c r="K42" s="83">
        <f t="shared" si="11"/>
        <v>0.075</v>
      </c>
      <c r="M42" s="83">
        <f t="shared" si="12"/>
        <v>0.08</v>
      </c>
      <c r="O42" s="83">
        <f t="shared" si="13"/>
        <v>0.085</v>
      </c>
      <c r="Q42" s="83">
        <f t="shared" si="14"/>
        <v>0.09000000000000001</v>
      </c>
    </row>
    <row r="43" spans="2:17" ht="15.75">
      <c r="B43" s="82" t="s">
        <v>89</v>
      </c>
      <c r="C43" s="84">
        <f>$C$38</f>
        <v>12</v>
      </c>
      <c r="D43" s="84">
        <f t="shared" si="7"/>
        <v>0</v>
      </c>
      <c r="E43" s="83">
        <f t="shared" si="8"/>
        <v>0.287</v>
      </c>
      <c r="F43" s="83"/>
      <c r="G43" s="83">
        <f t="shared" si="9"/>
        <v>0.292</v>
      </c>
      <c r="H43" s="83"/>
      <c r="I43" s="83">
        <f t="shared" si="10"/>
        <v>0.297</v>
      </c>
      <c r="J43" s="83"/>
      <c r="K43" s="83">
        <f t="shared" si="11"/>
        <v>0.299</v>
      </c>
      <c r="M43" s="83">
        <f t="shared" si="12"/>
        <v>0.304</v>
      </c>
      <c r="O43" s="83">
        <f t="shared" si="13"/>
        <v>0.309</v>
      </c>
      <c r="Q43" s="83">
        <f t="shared" si="14"/>
        <v>0.314</v>
      </c>
    </row>
    <row r="44" spans="10:17" ht="15.75">
      <c r="J44" s="83"/>
      <c r="Q44" s="85" t="s">
        <v>1</v>
      </c>
    </row>
    <row r="45" spans="2:22" ht="15.75">
      <c r="B45" s="215" t="s">
        <v>186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6" t="s">
        <v>1</v>
      </c>
      <c r="R45" s="212"/>
      <c r="S45" s="212"/>
      <c r="T45" s="212"/>
      <c r="U45" s="212"/>
      <c r="V45" s="212"/>
    </row>
    <row r="46" spans="2:22" ht="15.75">
      <c r="B46" s="217" t="s">
        <v>187</v>
      </c>
      <c r="C46" s="218">
        <f>$C$38</f>
        <v>12</v>
      </c>
      <c r="D46" s="218">
        <f>12-C46</f>
        <v>0</v>
      </c>
      <c r="E46" s="219">
        <f>((E31*C46)+(G31*D46))/12</f>
        <v>0.605</v>
      </c>
      <c r="F46" s="219"/>
      <c r="G46" s="219">
        <f>((G31*C46)+(I31*D46))/12</f>
        <v>0.605</v>
      </c>
      <c r="H46" s="219"/>
      <c r="I46" s="219">
        <f>((I31*C46)+(K31*D46))/12</f>
        <v>0.605</v>
      </c>
      <c r="J46" s="212"/>
      <c r="K46" s="219">
        <f>((K31*C46)+(M31*D46))/12</f>
        <v>0.605</v>
      </c>
      <c r="L46" s="212"/>
      <c r="M46" s="219">
        <f>((M31*C46)+(O31*D46))/12</f>
        <v>0.605</v>
      </c>
      <c r="N46" s="212"/>
      <c r="O46" s="219">
        <f>((O31*C46)+(Q31*D46))/12</f>
        <v>0.605</v>
      </c>
      <c r="P46" s="212"/>
      <c r="Q46" s="219">
        <f>+O46</f>
        <v>0.605</v>
      </c>
      <c r="R46" s="212"/>
      <c r="S46" s="212"/>
      <c r="T46" s="212"/>
      <c r="U46" s="212"/>
      <c r="V46" s="212"/>
    </row>
    <row r="47" spans="2:22" ht="15.75">
      <c r="B47" s="217" t="s">
        <v>188</v>
      </c>
      <c r="C47" s="218">
        <f>$C$38</f>
        <v>12</v>
      </c>
      <c r="D47" s="218">
        <f>12-C47</f>
        <v>0</v>
      </c>
      <c r="E47" s="219">
        <f>((E32*C47)+(G32*D47))/12</f>
        <v>0.57</v>
      </c>
      <c r="F47" s="219"/>
      <c r="G47" s="219">
        <f>((G32*C47)+(I32*D47))/12</f>
        <v>0.57</v>
      </c>
      <c r="H47" s="219"/>
      <c r="I47" s="219">
        <f>((I32*C47)+(K32*D47))/12</f>
        <v>0.57</v>
      </c>
      <c r="J47" s="212"/>
      <c r="K47" s="219">
        <f>((K32*C47)+(M32*D47))/12</f>
        <v>0.57</v>
      </c>
      <c r="L47" s="212"/>
      <c r="M47" s="219">
        <f>((M32*C47)+(O32*D47))/12</f>
        <v>0.57</v>
      </c>
      <c r="N47" s="212"/>
      <c r="O47" s="219">
        <f>((O32*C47)+(Q32*D47))/12</f>
        <v>0.57</v>
      </c>
      <c r="P47" s="212"/>
      <c r="Q47" s="219">
        <f>+O47</f>
        <v>0.57</v>
      </c>
      <c r="R47" s="212"/>
      <c r="S47" s="212"/>
      <c r="T47" s="212"/>
      <c r="U47" s="212"/>
      <c r="V47" s="212"/>
    </row>
    <row r="48" spans="2:22" ht="15.75">
      <c r="B48" s="217" t="s">
        <v>189</v>
      </c>
      <c r="C48" s="218">
        <f>$C$38</f>
        <v>12</v>
      </c>
      <c r="D48" s="218">
        <f>12-C48</f>
        <v>0</v>
      </c>
      <c r="E48" s="219">
        <f>((E33*C48)+(G33*D48))/12</f>
        <v>0.3</v>
      </c>
      <c r="F48" s="219"/>
      <c r="G48" s="219">
        <f>((G33*C48)+(I33*D48))/12</f>
        <v>0.3</v>
      </c>
      <c r="H48" s="219"/>
      <c r="I48" s="219">
        <f>((I33*C48)+(K33*D48))/12</f>
        <v>0.3</v>
      </c>
      <c r="J48" s="212"/>
      <c r="K48" s="219">
        <f>((K33*C48)+(M33*D48))/12</f>
        <v>0.3</v>
      </c>
      <c r="L48" s="212"/>
      <c r="M48" s="219">
        <f>((M33*C48)+(O33*D48))/12</f>
        <v>0.3</v>
      </c>
      <c r="N48" s="212"/>
      <c r="O48" s="219">
        <f>((O33*C48)+(Q33*D48))/12</f>
        <v>0.3</v>
      </c>
      <c r="P48" s="212"/>
      <c r="Q48" s="219">
        <f>+O48</f>
        <v>0.3</v>
      </c>
      <c r="R48" s="212"/>
      <c r="S48" s="212"/>
      <c r="T48" s="212"/>
      <c r="U48" s="212"/>
      <c r="V48" s="212"/>
    </row>
    <row r="49" spans="11:17" ht="15.75">
      <c r="K49" s="85" t="s">
        <v>1</v>
      </c>
      <c r="M49" s="85" t="s">
        <v>1</v>
      </c>
      <c r="O49" s="85" t="s">
        <v>1</v>
      </c>
      <c r="Q49" s="85" t="s">
        <v>1</v>
      </c>
    </row>
    <row r="50" spans="2:17" ht="15.75">
      <c r="B50" s="215" t="s">
        <v>190</v>
      </c>
      <c r="K50" s="85" t="s">
        <v>1</v>
      </c>
      <c r="M50" s="85" t="s">
        <v>1</v>
      </c>
      <c r="O50" s="85" t="s">
        <v>1</v>
      </c>
      <c r="Q50" s="85" t="s">
        <v>1</v>
      </c>
    </row>
    <row r="51" spans="2:17" ht="15.75">
      <c r="B51" s="82" t="s">
        <v>187</v>
      </c>
      <c r="C51" s="84">
        <f>$C$38</f>
        <v>12</v>
      </c>
      <c r="D51" s="84">
        <f>12-C51</f>
        <v>0</v>
      </c>
      <c r="E51" s="83">
        <f>IF($E$3="FY18",E20,IF($E$3="FY19",G20,IF($E$3="FY20",I20,IF($E$3="FY21",K20,IF($E$3="FY22",M20,IF($E$3="FY23",O20,IF($E$3="FY24",Q20,0)))))))</f>
        <v>0.26</v>
      </c>
      <c r="F51" s="83"/>
      <c r="G51" s="83">
        <f>((G20*C51)+(I20*D51))/12</f>
        <v>0.26</v>
      </c>
      <c r="H51" s="83"/>
      <c r="I51" s="83">
        <f>((I20*C51)+(K20*D51))/12</f>
        <v>0.26</v>
      </c>
      <c r="K51" s="83">
        <f>((K20*C51)+(M20*D51))/12</f>
        <v>0.26</v>
      </c>
      <c r="M51" s="83">
        <f>((M20*C51)+(O20*D51))/12</f>
        <v>0.26</v>
      </c>
      <c r="O51" s="83">
        <f>((O20*C51)+(Q20*D51))/12</f>
        <v>0.26</v>
      </c>
      <c r="Q51" s="83">
        <f>Q20</f>
        <v>0.26</v>
      </c>
    </row>
    <row r="52" spans="2:17" ht="15.75">
      <c r="B52" s="82" t="s">
        <v>188</v>
      </c>
      <c r="C52" s="84">
        <f>$C$38</f>
        <v>12</v>
      </c>
      <c r="D52" s="84">
        <f>12-C52</f>
        <v>0</v>
      </c>
      <c r="E52" s="83">
        <f>IF($E$3="FY18",E21,IF($E$3="FY19",G21,IF($E$3="FY20",I21,IF($E$3="FY21",K21,IF($E$3="FY22",M21,IF($E$3="FY23",O21,IF($E$3="FY24",Q21,0)))))))</f>
        <v>0.26</v>
      </c>
      <c r="F52" s="83"/>
      <c r="G52" s="83">
        <f>((G21*C52)+(I21*D52))/12</f>
        <v>0.26</v>
      </c>
      <c r="H52" s="83"/>
      <c r="I52" s="83">
        <f>((I21*C52)+(K21*D52))/12</f>
        <v>0.26</v>
      </c>
      <c r="K52" s="83">
        <f>((K21*C52)+(M21*D52))/12</f>
        <v>0.26</v>
      </c>
      <c r="M52" s="83">
        <f>((M21*C52)+(O21*D52))/12</f>
        <v>0.26</v>
      </c>
      <c r="O52" s="83">
        <f>((O21*C52)+(Q21*D52))/12</f>
        <v>0.26</v>
      </c>
      <c r="Q52" s="83">
        <f>Q21</f>
        <v>0.26</v>
      </c>
    </row>
    <row r="53" spans="2:17" ht="15.75">
      <c r="B53" s="82" t="s">
        <v>189</v>
      </c>
      <c r="C53" s="84">
        <f>$C$38</f>
        <v>12</v>
      </c>
      <c r="D53" s="84">
        <f>12-C53</f>
        <v>0</v>
      </c>
      <c r="E53" s="83">
        <f>IF($E$3="FY18",E22,IF($E$3="FY19",G22,IF($E$3="FY20",I22,IF($E$3="FY21",K22,IF($E$3="FY22",M22,IF($E$3="FY23",O22,IF($E$3="FY24",Q22,0)))))))</f>
        <v>0.26</v>
      </c>
      <c r="F53" s="83"/>
      <c r="G53" s="83">
        <f>((G22*C53)+(I22*D53))/12</f>
        <v>0.26</v>
      </c>
      <c r="H53" s="83"/>
      <c r="I53" s="83">
        <f>((I22*C53)+(K22*D53))/12</f>
        <v>0.26</v>
      </c>
      <c r="K53" s="83">
        <f>((K22*C53)+(M22*D53))/12</f>
        <v>0.26</v>
      </c>
      <c r="M53" s="83">
        <f>((M22*C53)+(O22*D53))/12</f>
        <v>0.26</v>
      </c>
      <c r="O53" s="83">
        <f>((O22*C53)+(Q22*D53))/12</f>
        <v>0.26</v>
      </c>
      <c r="Q53" s="83">
        <f>Q22</f>
        <v>0.26</v>
      </c>
    </row>
    <row r="63" ht="18.75">
      <c r="N63" s="235" t="s">
        <v>233</v>
      </c>
    </row>
  </sheetData>
  <sheetProtection/>
  <dataValidations count="1">
    <dataValidation type="list" allowBlank="1" showInputMessage="1" showErrorMessage="1" sqref="E3">
      <formula1>$U$4:$U$10</formula1>
    </dataValidation>
  </dataValidations>
  <printOptions/>
  <pageMargins left="0.5" right="0.3" top="1" bottom="0.667" header="0.5" footer="0.5"/>
  <pageSetup fitToHeight="1" fitToWidth="1" horizontalDpi="300" verticalDpi="300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3"/>
  <sheetViews>
    <sheetView showGridLines="0" workbookViewId="0" topLeftCell="A1">
      <selection activeCell="A1" sqref="A1"/>
    </sheetView>
  </sheetViews>
  <sheetFormatPr defaultColWidth="8.00390625" defaultRowHeight="15.75"/>
  <cols>
    <col min="1" max="6" width="8.00390625" style="103" customWidth="1"/>
    <col min="7" max="8" width="9.375" style="103" customWidth="1"/>
    <col min="9" max="9" width="4.125" style="103" customWidth="1"/>
    <col min="10" max="11" width="9.375" style="103" customWidth="1"/>
    <col min="12" max="12" width="4.125" style="103" customWidth="1"/>
    <col min="13" max="16" width="9.375" style="103" customWidth="1"/>
    <col min="17" max="17" width="4.125" style="103" customWidth="1"/>
    <col min="18" max="19" width="9.375" style="103" customWidth="1"/>
    <col min="20" max="16384" width="8.00390625" style="103" customWidth="1"/>
  </cols>
  <sheetData>
    <row r="1" spans="8:17" ht="12">
      <c r="H1" s="104" t="s">
        <v>131</v>
      </c>
      <c r="K1" s="105"/>
      <c r="L1" s="105"/>
      <c r="P1" s="104"/>
      <c r="Q1" s="106"/>
    </row>
    <row r="2" spans="8:17" ht="12">
      <c r="H2" s="104" t="s">
        <v>132</v>
      </c>
      <c r="K2" s="105"/>
      <c r="L2" s="105"/>
      <c r="M2" s="105"/>
      <c r="O2" s="104"/>
      <c r="P2" s="104"/>
      <c r="Q2" s="106"/>
    </row>
    <row r="6" spans="1:14" ht="12">
      <c r="A6" s="293" t="s">
        <v>133</v>
      </c>
      <c r="B6" s="293"/>
      <c r="C6" s="107"/>
      <c r="D6" s="294" t="s">
        <v>134</v>
      </c>
      <c r="E6" s="295"/>
      <c r="F6" s="108"/>
      <c r="G6" s="293" t="s">
        <v>135</v>
      </c>
      <c r="H6" s="293"/>
      <c r="I6" s="109"/>
      <c r="J6" s="291"/>
      <c r="K6" s="291"/>
      <c r="L6" s="110"/>
      <c r="M6" s="291"/>
      <c r="N6" s="291"/>
    </row>
    <row r="7" spans="1:14" ht="12">
      <c r="A7" s="289" t="s">
        <v>136</v>
      </c>
      <c r="B7" s="289"/>
      <c r="C7" s="111"/>
      <c r="D7" s="296" t="s">
        <v>137</v>
      </c>
      <c r="E7" s="297"/>
      <c r="F7" s="108"/>
      <c r="G7" s="289" t="s">
        <v>138</v>
      </c>
      <c r="H7" s="290"/>
      <c r="I7" s="112"/>
      <c r="J7" s="291"/>
      <c r="K7" s="291"/>
      <c r="L7" s="113"/>
      <c r="M7" s="291"/>
      <c r="N7" s="291"/>
    </row>
    <row r="8" spans="1:14" ht="12">
      <c r="A8" s="112"/>
      <c r="B8" s="112"/>
      <c r="C8" s="112"/>
      <c r="D8" s="112"/>
      <c r="E8" s="108"/>
      <c r="F8" s="108"/>
      <c r="G8" s="112"/>
      <c r="H8" s="112"/>
      <c r="I8" s="112"/>
      <c r="J8" s="113"/>
      <c r="K8" s="113"/>
      <c r="L8" s="113"/>
      <c r="M8" s="113"/>
      <c r="N8" s="113"/>
    </row>
    <row r="9" spans="1:14" ht="12">
      <c r="A9" s="114" t="s">
        <v>139</v>
      </c>
      <c r="B9" s="114" t="s">
        <v>140</v>
      </c>
      <c r="C9" s="109"/>
      <c r="D9" s="114" t="s">
        <v>141</v>
      </c>
      <c r="E9" s="115" t="s">
        <v>125</v>
      </c>
      <c r="F9" s="108"/>
      <c r="G9" s="114" t="s">
        <v>142</v>
      </c>
      <c r="H9" s="114" t="s">
        <v>143</v>
      </c>
      <c r="I9" s="109"/>
      <c r="J9" s="116"/>
      <c r="K9" s="116"/>
      <c r="L9" s="110"/>
      <c r="M9" s="116"/>
      <c r="N9" s="116"/>
    </row>
    <row r="10" spans="3:14" ht="12">
      <c r="C10" s="117"/>
      <c r="E10" s="117"/>
      <c r="F10" s="117"/>
      <c r="G10" s="117"/>
      <c r="J10" s="118"/>
      <c r="K10" s="118"/>
      <c r="L10" s="118"/>
      <c r="M10" s="118"/>
      <c r="N10" s="118"/>
    </row>
    <row r="11" spans="1:14" ht="12">
      <c r="A11" s="119">
        <v>0.415</v>
      </c>
      <c r="B11" s="120">
        <f>14*A11/4.3333</f>
        <v>1.3407795444580342</v>
      </c>
      <c r="C11" s="121"/>
      <c r="D11" s="119">
        <f>A11</f>
        <v>0.415</v>
      </c>
      <c r="E11" s="120">
        <f>32*D11/4.3333</f>
        <v>3.0646389587612206</v>
      </c>
      <c r="F11" s="118"/>
      <c r="G11" s="122">
        <f>A11</f>
        <v>0.415</v>
      </c>
      <c r="H11" s="120">
        <f>52*G11/4.3333</f>
        <v>4.980038307986984</v>
      </c>
      <c r="I11" s="119"/>
      <c r="J11" s="123"/>
      <c r="K11" s="124"/>
      <c r="L11" s="125"/>
      <c r="M11" s="123"/>
      <c r="N11" s="121"/>
    </row>
    <row r="12" spans="1:14" ht="12.75" thickBot="1">
      <c r="A12" s="126"/>
      <c r="B12" s="127"/>
      <c r="C12" s="128"/>
      <c r="D12" s="126"/>
      <c r="E12" s="129"/>
      <c r="F12" s="129"/>
      <c r="G12" s="126"/>
      <c r="H12" s="127"/>
      <c r="I12" s="126"/>
      <c r="J12" s="130"/>
      <c r="K12" s="130"/>
      <c r="L12" s="130"/>
      <c r="M12" s="130"/>
      <c r="N12" s="131"/>
    </row>
    <row r="13" spans="8:18" ht="12">
      <c r="H13" s="132"/>
      <c r="N13" s="132"/>
      <c r="R13" s="132"/>
    </row>
    <row r="14" spans="1:16" ht="12">
      <c r="A14" s="133" t="s">
        <v>144</v>
      </c>
      <c r="B14" s="134"/>
      <c r="C14" s="134"/>
      <c r="D14" s="134"/>
      <c r="E14" s="134"/>
      <c r="F14" s="134"/>
      <c r="G14" s="133"/>
      <c r="H14" s="133"/>
      <c r="I14" s="133"/>
      <c r="J14" s="133"/>
      <c r="K14" s="134"/>
      <c r="L14" s="134"/>
      <c r="M14" s="133"/>
      <c r="N14" s="133"/>
      <c r="O14" s="134"/>
      <c r="P14" s="133"/>
    </row>
    <row r="15" spans="1:16" ht="12">
      <c r="A15" s="133"/>
      <c r="B15" s="134"/>
      <c r="C15" s="134"/>
      <c r="D15" s="134"/>
      <c r="E15" s="134"/>
      <c r="F15" s="134"/>
      <c r="G15" s="133"/>
      <c r="H15" s="133"/>
      <c r="I15" s="133"/>
      <c r="J15" s="133"/>
      <c r="K15" s="134"/>
      <c r="L15" s="134"/>
      <c r="M15" s="133"/>
      <c r="N15" s="133"/>
      <c r="O15" s="134"/>
      <c r="P15" s="133"/>
    </row>
    <row r="16" spans="1:16" ht="12">
      <c r="A16" s="133" t="s">
        <v>145</v>
      </c>
      <c r="B16" s="134"/>
      <c r="C16" s="134"/>
      <c r="D16" s="134"/>
      <c r="E16" s="134"/>
      <c r="F16" s="134"/>
      <c r="G16" s="133"/>
      <c r="H16" s="133"/>
      <c r="I16" s="133"/>
      <c r="J16" s="133"/>
      <c r="K16" s="134"/>
      <c r="L16" s="134"/>
      <c r="M16" s="133"/>
      <c r="N16" s="133"/>
      <c r="O16" s="134"/>
      <c r="P16" s="133"/>
    </row>
    <row r="17" spans="1:16" ht="12">
      <c r="A17" s="133" t="s">
        <v>146</v>
      </c>
      <c r="B17" s="134"/>
      <c r="C17" s="134"/>
      <c r="D17" s="134"/>
      <c r="E17" s="134"/>
      <c r="F17" s="134"/>
      <c r="G17" s="133"/>
      <c r="H17" s="133"/>
      <c r="I17" s="133"/>
      <c r="J17" s="133"/>
      <c r="K17" s="134"/>
      <c r="L17" s="134"/>
      <c r="M17" s="133"/>
      <c r="N17" s="133"/>
      <c r="O17" s="134"/>
      <c r="P17" s="133"/>
    </row>
    <row r="18" spans="2:15" ht="12">
      <c r="B18" s="132"/>
      <c r="C18" s="132"/>
      <c r="D18" s="132"/>
      <c r="E18" s="132"/>
      <c r="F18" s="132"/>
      <c r="K18" s="132"/>
      <c r="L18" s="132"/>
      <c r="O18" s="132"/>
    </row>
    <row r="19" spans="2:15" ht="12">
      <c r="B19" s="132"/>
      <c r="C19" s="132"/>
      <c r="D19" s="132"/>
      <c r="E19" s="132"/>
      <c r="F19" s="132"/>
      <c r="K19" s="132"/>
      <c r="L19" s="132"/>
      <c r="O19" s="132"/>
    </row>
    <row r="20" spans="1:15" ht="12">
      <c r="A20" s="135" t="s">
        <v>147</v>
      </c>
      <c r="K20" s="132"/>
      <c r="L20" s="132"/>
      <c r="O20" s="132"/>
    </row>
    <row r="21" spans="1:15" ht="12">
      <c r="A21" s="135" t="s">
        <v>148</v>
      </c>
      <c r="K21" s="132"/>
      <c r="L21" s="132"/>
      <c r="O21" s="132"/>
    </row>
    <row r="22" spans="1:15" ht="12">
      <c r="A22" s="135"/>
      <c r="K22" s="132"/>
      <c r="L22" s="132"/>
      <c r="O22" s="132"/>
    </row>
    <row r="23" spans="1:11" ht="12">
      <c r="A23" s="135" t="s">
        <v>149</v>
      </c>
      <c r="D23" s="135" t="s">
        <v>150</v>
      </c>
      <c r="E23" s="135"/>
      <c r="K23" s="132"/>
    </row>
    <row r="24" spans="1:11" ht="12">
      <c r="A24" s="135" t="s">
        <v>151</v>
      </c>
      <c r="D24" s="135" t="s">
        <v>152</v>
      </c>
      <c r="E24" s="135"/>
      <c r="K24" s="132"/>
    </row>
    <row r="25" spans="1:11" ht="12">
      <c r="A25" s="135" t="s">
        <v>153</v>
      </c>
      <c r="D25" s="135" t="s">
        <v>154</v>
      </c>
      <c r="E25" s="135"/>
      <c r="K25" s="132"/>
    </row>
    <row r="26" spans="1:15" ht="12">
      <c r="A26" s="135" t="s">
        <v>1</v>
      </c>
      <c r="K26" s="132"/>
      <c r="L26" s="132"/>
      <c r="O26" s="132"/>
    </row>
    <row r="27" spans="1:15" ht="12">
      <c r="A27" s="135" t="s">
        <v>155</v>
      </c>
      <c r="K27" s="132"/>
      <c r="L27" s="132"/>
      <c r="O27" s="132"/>
    </row>
    <row r="28" spans="1:15" ht="12">
      <c r="A28" s="135" t="s">
        <v>156</v>
      </c>
      <c r="K28" s="132"/>
      <c r="L28" s="132"/>
      <c r="O28" s="132"/>
    </row>
    <row r="29" spans="1:15" ht="12">
      <c r="A29" s="136"/>
      <c r="K29" s="132"/>
      <c r="L29" s="132"/>
      <c r="O29" s="132"/>
    </row>
    <row r="30" ht="12">
      <c r="A30" s="103" t="s">
        <v>157</v>
      </c>
    </row>
    <row r="31" ht="12.75">
      <c r="C31" s="137" t="s">
        <v>158</v>
      </c>
    </row>
    <row r="32" ht="12.75">
      <c r="C32" s="137" t="s">
        <v>159</v>
      </c>
    </row>
    <row r="33" ht="12.75">
      <c r="C33" s="137" t="s">
        <v>160</v>
      </c>
    </row>
    <row r="34" spans="1:15" ht="12">
      <c r="A34" s="138" t="s">
        <v>161</v>
      </c>
      <c r="B34" s="136"/>
      <c r="C34" s="136"/>
      <c r="D34" s="136"/>
      <c r="E34" s="136"/>
      <c r="F34" s="136"/>
      <c r="K34" s="132"/>
      <c r="L34" s="132"/>
      <c r="O34" s="132"/>
    </row>
    <row r="35" spans="1:12" ht="12.75">
      <c r="A35" s="136"/>
      <c r="C35" s="137" t="s">
        <v>162</v>
      </c>
      <c r="D35" s="137"/>
      <c r="E35" s="137"/>
      <c r="F35" s="139"/>
      <c r="G35" s="137"/>
      <c r="H35" s="137"/>
      <c r="I35" s="137"/>
      <c r="J35" s="137"/>
      <c r="K35" s="137"/>
      <c r="L35" s="132"/>
    </row>
    <row r="36" spans="1:11" ht="12.75">
      <c r="A36" s="136"/>
      <c r="C36" s="137" t="s">
        <v>163</v>
      </c>
      <c r="D36" s="137"/>
      <c r="E36" s="137"/>
      <c r="F36" s="137"/>
      <c r="G36" s="137"/>
      <c r="H36" s="137"/>
      <c r="I36" s="137"/>
      <c r="J36" s="137"/>
      <c r="K36" s="137"/>
    </row>
    <row r="37" spans="3:11" ht="12.75">
      <c r="C37" s="137" t="s">
        <v>164</v>
      </c>
      <c r="D37" s="137"/>
      <c r="E37" s="137"/>
      <c r="F37" s="137"/>
      <c r="G37" s="137"/>
      <c r="H37" s="137"/>
      <c r="I37" s="137"/>
      <c r="J37" s="137"/>
      <c r="K37" s="137"/>
    </row>
    <row r="39" ht="12">
      <c r="A39" s="103" t="s">
        <v>165</v>
      </c>
    </row>
    <row r="40" spans="3:11" ht="12.75">
      <c r="C40" s="137" t="s">
        <v>166</v>
      </c>
      <c r="D40" s="137"/>
      <c r="E40" s="137"/>
      <c r="F40" s="137"/>
      <c r="G40" s="137"/>
      <c r="H40" s="137"/>
      <c r="I40" s="137"/>
      <c r="J40" s="137"/>
      <c r="K40" s="137"/>
    </row>
    <row r="41" spans="3:11" ht="12.75">
      <c r="C41" s="137" t="s">
        <v>167</v>
      </c>
      <c r="D41" s="137"/>
      <c r="E41" s="137"/>
      <c r="F41" s="137"/>
      <c r="G41" s="137"/>
      <c r="H41" s="137"/>
      <c r="I41" s="137"/>
      <c r="J41" s="137"/>
      <c r="K41" s="137"/>
    </row>
    <row r="42" spans="3:11" ht="12.75">
      <c r="C42" s="137" t="s">
        <v>168</v>
      </c>
      <c r="D42" s="137"/>
      <c r="E42" s="137"/>
      <c r="F42" s="137"/>
      <c r="G42" s="137"/>
      <c r="H42" s="137"/>
      <c r="I42" s="137"/>
      <c r="J42" s="137"/>
      <c r="K42" s="137"/>
    </row>
    <row r="43" spans="12:14" ht="15.75">
      <c r="L43" s="292">
        <f>'RATES-Non Fed'!Q67</f>
        <v>0</v>
      </c>
      <c r="M43" s="292"/>
      <c r="N43" s="292"/>
    </row>
  </sheetData>
  <sheetProtection/>
  <mergeCells count="11">
    <mergeCell ref="G6:H6"/>
    <mergeCell ref="G7:H7"/>
    <mergeCell ref="J6:K6"/>
    <mergeCell ref="J7:K7"/>
    <mergeCell ref="L43:N43"/>
    <mergeCell ref="A6:B6"/>
    <mergeCell ref="A7:B7"/>
    <mergeCell ref="M6:N6"/>
    <mergeCell ref="M7:N7"/>
    <mergeCell ref="D6:E6"/>
    <mergeCell ref="D7:E7"/>
  </mergeCells>
  <printOptions horizontalCentered="1"/>
  <pageMargins left="0.5" right="0.3" top="1" bottom="1" header="0.5" footer="0.5"/>
  <pageSetup horizontalDpi="600" verticalDpi="600" orientation="landscape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10.00390625" defaultRowHeight="15.75"/>
  <cols>
    <col min="1" max="4" width="10.00390625" style="87" customWidth="1"/>
    <col min="5" max="6" width="10.875" style="87" customWidth="1"/>
    <col min="7" max="8" width="10.00390625" style="87" customWidth="1"/>
    <col min="9" max="9" width="10.875" style="87" customWidth="1"/>
    <col min="10" max="16384" width="10.00390625" style="87" customWidth="1"/>
  </cols>
  <sheetData>
    <row r="1" ht="15">
      <c r="B1" s="101" t="s">
        <v>130</v>
      </c>
    </row>
    <row r="2" spans="5:8" ht="15">
      <c r="E2" s="102"/>
      <c r="F2" s="100"/>
      <c r="H2" s="100"/>
    </row>
    <row r="3" spans="5:8" ht="15">
      <c r="E3" s="102"/>
      <c r="F3" s="100"/>
      <c r="H3" s="100"/>
    </row>
    <row r="4" spans="5:8" ht="15">
      <c r="E4" s="102"/>
      <c r="F4" s="100"/>
      <c r="H4" s="100"/>
    </row>
    <row r="5" spans="5:8" ht="15">
      <c r="E5" s="102"/>
      <c r="F5" s="100"/>
      <c r="H5" s="100"/>
    </row>
    <row r="6" spans="5:8" ht="15">
      <c r="E6" s="102"/>
      <c r="F6" s="100"/>
      <c r="H6" s="100"/>
    </row>
    <row r="7" spans="8:9" ht="15">
      <c r="H7" s="100"/>
      <c r="I7" s="100"/>
    </row>
    <row r="8" ht="15">
      <c r="H8" s="100"/>
    </row>
    <row r="9" spans="1:4" ht="15">
      <c r="A9" s="100"/>
      <c r="C9" s="100" t="s">
        <v>127</v>
      </c>
      <c r="D9" s="100" t="s">
        <v>129</v>
      </c>
    </row>
    <row r="10" spans="3:4" ht="15">
      <c r="C10" s="100" t="s">
        <v>126</v>
      </c>
      <c r="D10" s="100" t="s">
        <v>128</v>
      </c>
    </row>
    <row r="11" spans="1:4" ht="15">
      <c r="A11" s="100"/>
      <c r="C11" s="100"/>
      <c r="D11" s="100"/>
    </row>
    <row r="12" spans="3:4" ht="15">
      <c r="C12" s="100"/>
      <c r="D12" s="10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 Data Solutions - WS1</dc:creator>
  <cp:keywords/>
  <dc:description/>
  <cp:lastModifiedBy>Wright, Amanda (lampsoam)</cp:lastModifiedBy>
  <cp:lastPrinted>2018-01-26T15:35:36Z</cp:lastPrinted>
  <dcterms:created xsi:type="dcterms:W3CDTF">1997-02-25T19:32:14Z</dcterms:created>
  <dcterms:modified xsi:type="dcterms:W3CDTF">2018-09-20T15:16:58Z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