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375" tabRatio="784" activeTab="0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-Non Fed" sheetId="7" r:id="rId7"/>
    <sheet name="PM Conversion Chart" sheetId="8" r:id="rId8"/>
    <sheet name="Ref" sheetId="9" r:id="rId9"/>
  </sheets>
  <externalReferences>
    <externalReference r:id="rId12"/>
    <externalReference r:id="rId13"/>
  </externalReferences>
  <definedNames>
    <definedName name="APPTS">'Ref'!$C$9:$C$12</definedName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Year'!$A$1:$O$88</definedName>
    <definedName name="_xlnm.Print_Area" localSheetId="2">'2 Year'!$A$1:$P$89</definedName>
    <definedName name="_xlnm.Print_Area" localSheetId="3">'3 Year'!$A$1:$S$88</definedName>
    <definedName name="_xlnm.Print_Area" localSheetId="4">'4 Year'!$A$1:$W$88</definedName>
    <definedName name="_xlnm.Print_Area" localSheetId="5">'5 Year'!$A$1:$Y$89</definedName>
    <definedName name="_xlnm.Print_Area" localSheetId="7">'PM Conversion Chart'!$A$1:$N$43</definedName>
    <definedName name="Print_Area_MI">#REF!</definedName>
    <definedName name="Print_Titles_MI">'[1]FACE'!#REF!</definedName>
    <definedName name="PRSALARY">#REF!</definedName>
    <definedName name="Year1Sub">#REF!</definedName>
    <definedName name="Year2Inc">'[2]Ref'!$C$4</definedName>
    <definedName name="Year2Sub">#REF!</definedName>
    <definedName name="Year3Inc">'[2]Ref'!$C$5</definedName>
    <definedName name="Year3Sub">#REF!</definedName>
    <definedName name="Year4Inc">'[2]Ref'!$C$6</definedName>
    <definedName name="Year4Sub">#REF!</definedName>
    <definedName name="Year5Inc">'[2]Ref'!$C$7</definedName>
    <definedName name="Year5Sub">#REF!</definedName>
  </definedNames>
  <calcPr fullCalcOnLoad="1"/>
</workbook>
</file>

<file path=xl/comments2.xml><?xml version="1.0" encoding="utf-8"?>
<comments xmlns="http://schemas.openxmlformats.org/spreadsheetml/2006/main">
  <authors>
    <author>OSP-West</author>
  </authors>
  <commentList>
    <comment ref="D16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0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6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sharedStrings.xml><?xml version="1.0" encoding="utf-8"?>
<sst xmlns="http://schemas.openxmlformats.org/spreadsheetml/2006/main" count="767" uniqueCount="196">
  <si>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</si>
  <si>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</si>
  <si>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</si>
  <si>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</si>
  <si>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</si>
  <si>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</si>
  <si>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</si>
  <si>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</si>
  <si>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</si>
  <si>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</si>
  <si>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</si>
  <si>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</si>
  <si>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</si>
  <si>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</si>
  <si>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</si>
  <si>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</si>
  <si>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</si>
  <si>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</si>
  <si>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</si>
  <si>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</si>
  <si>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</si>
  <si>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</si>
  <si>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</si>
  <si>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</si>
  <si>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</si>
  <si>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</si>
  <si>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</si>
  <si>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</si>
  <si>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</si>
  <si>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</si>
  <si>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</si>
  <si>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</si>
  <si>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</si>
  <si>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</si>
  <si>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</si>
  <si>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</si>
  <si>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</si>
  <si>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</si>
  <si>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</si>
  <si>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</si>
  <si>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</si>
  <si>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</si>
  <si>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</si>
  <si>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</si>
  <si>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 xml:space="preserve">Sub-Contract &lt;$25,000 1): </t>
  </si>
  <si>
    <t xml:space="preserve">Sub-Contract &lt;$25,000 2):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</si>
  <si>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</si>
  <si>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</si>
  <si>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</si>
  <si>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</si>
  <si>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</si>
  <si>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</si>
  <si>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</si>
  <si>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</si>
  <si>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</si>
  <si>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</si>
  <si>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</si>
  <si>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</si>
  <si>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</si>
  <si>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</si>
  <si>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</si>
  <si>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</si>
  <si>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</si>
  <si>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</si>
  <si>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</si>
  <si>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</si>
  <si>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</si>
  <si>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</si>
  <si>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</si>
  <si>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</si>
  <si>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</si>
  <si>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</si>
  <si>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</si>
  <si>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</si>
  <si>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</si>
  <si>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</si>
  <si>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</si>
  <si>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</si>
  <si>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</si>
  <si>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</si>
  <si>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</si>
  <si>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</si>
  <si>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</si>
  <si>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</si>
  <si>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</si>
  <si>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</si>
  <si>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</si>
  <si>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</si>
  <si>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</si>
  <si>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</si>
  <si>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</si>
  <si>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 xml:space="preserve">5 Year Budget </t>
  </si>
  <si>
    <t xml:space="preserve">Sub-Contract &lt;$25,000 3): </t>
  </si>
  <si>
    <t xml:space="preserve">Sub-Contract &lt;$25,000 4):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</si>
  <si>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</si>
  <si>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</si>
  <si>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</si>
  <si>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</si>
  <si>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</si>
  <si>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</si>
  <si>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</si>
  <si>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</si>
  <si>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</si>
  <si>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</si>
  <si>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</si>
  <si>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</si>
  <si>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</si>
  <si>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</si>
  <si>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</si>
  <si>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</si>
  <si>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</si>
  <si>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</si>
  <si>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</si>
  <si>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</si>
  <si>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</si>
  <si>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</si>
  <si>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</si>
  <si>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</si>
  <si>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</si>
  <si>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 xml:space="preserve">F&amp;A Cost (on MTDC):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</si>
  <si>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</si>
  <si>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</si>
  <si>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</si>
  <si>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</si>
  <si>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</si>
  <si>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</si>
  <si>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</si>
  <si>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</si>
  <si>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</si>
  <si>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</si>
  <si>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</si>
  <si>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</si>
  <si>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</si>
  <si>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</si>
  <si>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</si>
  <si>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</si>
  <si>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</si>
  <si>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</si>
  <si>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</si>
  <si>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</si>
  <si>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</si>
  <si>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</si>
  <si>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</si>
  <si>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</si>
  <si>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</si>
  <si>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</si>
  <si>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</si>
  <si>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</si>
  <si>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</si>
  <si>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</si>
  <si>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</si>
  <si>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</si>
  <si>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</si>
  <si>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</si>
  <si>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</si>
  <si>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</si>
  <si>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</si>
  <si>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LAM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</si>
  <si>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</si>
  <si>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</si>
  <si>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</si>
  <si>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</si>
  <si>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</si>
  <si>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</si>
  <si>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</si>
  <si>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</si>
  <si>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</si>
  <si>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</si>
  <si>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>Indirect Cost Rates (off Campus &amp; for Sub-Contracts $25,000 or less)</t>
  </si>
  <si>
    <t>`</t>
  </si>
  <si>
    <t>FY21</t>
  </si>
  <si>
    <t>FY22</t>
  </si>
  <si>
    <t>7/20-6/21</t>
  </si>
  <si>
    <t>FY23</t>
  </si>
  <si>
    <t>7/21-6/22</t>
  </si>
  <si>
    <t>7/22-6/23</t>
  </si>
  <si>
    <t>FY24</t>
  </si>
  <si>
    <t>Exmpt Staff (Mnthly)/</t>
  </si>
  <si>
    <t>Dual Comp Faculty</t>
  </si>
  <si>
    <t>7/23-6/24</t>
  </si>
  <si>
    <t>B</t>
  </si>
  <si>
    <t>Dual Compensation Faculty</t>
  </si>
  <si>
    <t>C.</t>
  </si>
  <si>
    <t>AAUP Faculty</t>
  </si>
  <si>
    <t xml:space="preserve">AAUP Faculty Subtotal : </t>
  </si>
  <si>
    <t xml:space="preserve">Dual Comp Faculty Subtotal : </t>
  </si>
  <si>
    <t>FY25</t>
  </si>
  <si>
    <t>7/24-6/25</t>
  </si>
  <si>
    <t>Long Distance</t>
  </si>
  <si>
    <t>FY26</t>
  </si>
  <si>
    <t>7/25-6/26</t>
  </si>
  <si>
    <t>FY27</t>
  </si>
  <si>
    <t>7/26-6/27</t>
  </si>
  <si>
    <t>Starting Year Calculation</t>
  </si>
  <si>
    <t>Row Value</t>
  </si>
  <si>
    <t>Last Revised: 5/7/21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</si>
</sst>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  <numFmt numFmtId="174" formatCode="mm/dd/yy"/>
    <numFmt numFmtId="175" formatCode="mm/dd/yy\ h:mm"/>
    <numFmt numFmtId="176" formatCode="General_)"/>
    <numFmt numFmtId="177" formatCode="0.00_)"/>
    <numFmt numFmtId="178" formatCode="00"/>
    <numFmt numFmtId="179" formatCode="mm/dd/yy\ h:mm:ss"/>
    <numFmt numFmtId="180" formatCode="&quot;$&quot;#,##0"/>
    <numFmt numFmtId="181" formatCode="0.000"/>
    <numFmt numFmtId="182" formatCode="0.000_)"/>
    <numFmt numFmtId="183" formatCode="_(* #,##0.00000_);_(* \(#,##0.00000\);_(* &quot;-&quot;?????_);_(@_)"/>
    <numFmt numFmtId="184" formatCode="&quot;(&quot;\ &quot;$&quot;\ #,##0.00\ &quot;/ hour )&quot;"/>
    <numFmt numFmtId="185" formatCode="[$-409]dddd\,\ mmmm\ dd\,\ yyyy"/>
    <numFmt numFmtId="186" formatCode="mm/dd/yy;@"/>
    <numFmt numFmtId="187" formatCode="m/d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.0_)"/>
    <numFmt numFmtId="194" formatCode="#,##0.0_);\(#,##0.0\)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#,##0.0_);[Red]\(#,##0.0\)"/>
  </numFmts>
  <fonts count="9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12"/>
      <name val="SWISS"/>
      <family val="0"/>
    </font>
    <font>
      <sz val="10"/>
      <name val="Tahoma"/>
      <family val="2"/>
    </font>
    <font>
      <i/>
      <sz val="14"/>
      <name val="Brush Script MT"/>
      <family val="4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color indexed="20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Courier"/>
      <family val="0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3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>
      <alignment/>
      <protection/>
    </xf>
    <xf numFmtId="4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176" fontId="3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6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42" applyNumberFormat="1" applyFont="1">
      <alignment/>
      <protection/>
    </xf>
    <xf numFmtId="168" fontId="13" fillId="0" borderId="10" xfId="42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42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168" fontId="13" fillId="0" borderId="11" xfId="42" applyNumberFormat="1" applyFont="1" applyBorder="1" applyProtection="1">
      <alignment/>
      <protection/>
    </xf>
    <xf numFmtId="168" fontId="13" fillId="0" borderId="0" xfId="42" applyNumberFormat="1" applyFont="1" applyProtection="1">
      <alignment/>
      <protection/>
    </xf>
    <xf numFmtId="168" fontId="14" fillId="0" borderId="11" xfId="42" applyNumberFormat="1" applyFont="1" applyBorder="1" applyProtection="1">
      <alignment/>
      <protection/>
    </xf>
    <xf numFmtId="168" fontId="13" fillId="0" borderId="0" xfId="42" applyNumberFormat="1" applyFont="1" applyAlignment="1" applyProtection="1">
      <alignment horizontal="left"/>
      <protection/>
    </xf>
    <xf numFmtId="168" fontId="14" fillId="0" borderId="10" xfId="42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5" fillId="0" borderId="0" xfId="46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42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42" applyFont="1">
      <alignment/>
      <protection/>
    </xf>
    <xf numFmtId="38" fontId="16" fillId="0" borderId="0" xfId="0" applyNumberFormat="1" applyFont="1" applyAlignment="1" applyProtection="1">
      <alignment/>
      <protection/>
    </xf>
    <xf numFmtId="168" fontId="16" fillId="0" borderId="0" xfId="42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70" fontId="17" fillId="0" borderId="0" xfId="46" applyNumberFormat="1" applyFont="1" applyAlignment="1">
      <alignment/>
    </xf>
    <xf numFmtId="10" fontId="5" fillId="0" borderId="0" xfId="69" applyNumberFormat="1" applyFont="1" applyAlignment="1">
      <alignment/>
    </xf>
    <xf numFmtId="0" fontId="18" fillId="0" borderId="0" xfId="0" applyFont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8" fontId="20" fillId="0" borderId="0" xfId="42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0" fontId="24" fillId="0" borderId="0" xfId="63">
      <alignment/>
      <protection/>
    </xf>
    <xf numFmtId="14" fontId="0" fillId="0" borderId="0" xfId="64" applyNumberForma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/>
      <protection/>
    </xf>
    <xf numFmtId="2" fontId="5" fillId="0" borderId="0" xfId="69" applyNumberFormat="1" applyFont="1" applyAlignment="1">
      <alignment/>
    </xf>
    <xf numFmtId="177" fontId="28" fillId="0" borderId="0" xfId="65" applyNumberFormat="1" applyFont="1" applyFill="1" applyBorder="1" applyProtection="1">
      <alignment/>
      <protection locked="0"/>
    </xf>
    <xf numFmtId="0" fontId="24" fillId="0" borderId="0" xfId="63" applyFont="1">
      <alignment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left"/>
      <protection/>
    </xf>
    <xf numFmtId="0" fontId="33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3" fillId="0" borderId="0" xfId="66" applyFont="1" applyAlignment="1">
      <alignment horizontal="center"/>
      <protection/>
    </xf>
    <xf numFmtId="0" fontId="32" fillId="33" borderId="0" xfId="66" applyFont="1" applyFill="1" applyAlignment="1">
      <alignment horizontal="center"/>
      <protection/>
    </xf>
    <xf numFmtId="0" fontId="33" fillId="33" borderId="0" xfId="66" applyFont="1" applyFill="1">
      <alignment/>
      <protection/>
    </xf>
    <xf numFmtId="0" fontId="32" fillId="33" borderId="0" xfId="66" applyFont="1" applyFill="1">
      <alignment/>
      <protection/>
    </xf>
    <xf numFmtId="0" fontId="34" fillId="33" borderId="0" xfId="66" applyFont="1" applyFill="1">
      <alignment/>
      <protection/>
    </xf>
    <xf numFmtId="0" fontId="32" fillId="33" borderId="0" xfId="66" applyFont="1" applyFill="1" applyAlignment="1">
      <alignment horizontal="right"/>
      <protection/>
    </xf>
    <xf numFmtId="0" fontId="33" fillId="0" borderId="13" xfId="66" applyFont="1" applyBorder="1">
      <alignment/>
      <protection/>
    </xf>
    <xf numFmtId="0" fontId="35" fillId="34" borderId="10" xfId="66" applyFont="1" applyFill="1" applyBorder="1">
      <alignment/>
      <protection/>
    </xf>
    <xf numFmtId="2" fontId="35" fillId="34" borderId="10" xfId="66" applyNumberFormat="1" applyFont="1" applyFill="1" applyBorder="1">
      <alignment/>
      <protection/>
    </xf>
    <xf numFmtId="0" fontId="35" fillId="0" borderId="0" xfId="66" applyFont="1">
      <alignment/>
      <protection/>
    </xf>
    <xf numFmtId="2" fontId="35" fillId="34" borderId="14" xfId="66" applyNumberFormat="1" applyFont="1" applyFill="1" applyBorder="1">
      <alignment/>
      <protection/>
    </xf>
    <xf numFmtId="0" fontId="33" fillId="0" borderId="14" xfId="66" applyFont="1" applyBorder="1">
      <alignment/>
      <protection/>
    </xf>
    <xf numFmtId="2" fontId="33" fillId="0" borderId="0" xfId="66" applyNumberFormat="1" applyFont="1">
      <alignment/>
      <protection/>
    </xf>
    <xf numFmtId="0" fontId="36" fillId="0" borderId="0" xfId="66" applyFont="1">
      <alignment/>
      <protection/>
    </xf>
    <xf numFmtId="2" fontId="36" fillId="0" borderId="0" xfId="66" applyNumberFormat="1" applyFont="1">
      <alignment/>
      <protection/>
    </xf>
    <xf numFmtId="0" fontId="37" fillId="0" borderId="0" xfId="66" applyFont="1">
      <alignment/>
      <protection/>
    </xf>
    <xf numFmtId="0" fontId="37" fillId="0" borderId="0" xfId="66" applyFont="1" applyAlignment="1">
      <alignment horizontal="left" indent="8"/>
      <protection/>
    </xf>
    <xf numFmtId="0" fontId="4" fillId="0" borderId="0" xfId="66">
      <alignment/>
      <protection/>
    </xf>
    <xf numFmtId="2" fontId="4" fillId="0" borderId="0" xfId="66" applyNumberFormat="1">
      <alignment/>
      <protection/>
    </xf>
    <xf numFmtId="0" fontId="27" fillId="35" borderId="0" xfId="65" applyFont="1" applyFill="1" applyBorder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8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164" fontId="85" fillId="0" borderId="0" xfId="0" applyNumberFormat="1" applyFont="1" applyAlignment="1" applyProtection="1">
      <alignment horizontal="centerContinuous"/>
      <protection/>
    </xf>
    <xf numFmtId="164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164" fontId="86" fillId="0" borderId="0" xfId="0" applyNumberFormat="1" applyFont="1" applyAlignment="1" applyProtection="1">
      <alignment horizontal="center"/>
      <protection/>
    </xf>
    <xf numFmtId="6" fontId="87" fillId="0" borderId="0" xfId="0" applyNumberFormat="1" applyFont="1" applyAlignment="1" applyProtection="1">
      <alignment/>
      <protection/>
    </xf>
    <xf numFmtId="37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/>
    </xf>
    <xf numFmtId="0" fontId="86" fillId="0" borderId="0" xfId="0" applyFont="1" applyAlignment="1">
      <alignment/>
    </xf>
    <xf numFmtId="37" fontId="88" fillId="0" borderId="0" xfId="0" applyNumberFormat="1" applyFont="1" applyAlignment="1" applyProtection="1">
      <alignment/>
      <protection/>
    </xf>
    <xf numFmtId="38" fontId="88" fillId="0" borderId="0" xfId="0" applyNumberFormat="1" applyFont="1" applyAlignment="1" applyProtection="1">
      <alignment/>
      <protection/>
    </xf>
    <xf numFmtId="38" fontId="89" fillId="0" borderId="0" xfId="0" applyNumberFormat="1" applyFont="1" applyAlignment="1" applyProtection="1">
      <alignment/>
      <protection/>
    </xf>
    <xf numFmtId="168" fontId="90" fillId="0" borderId="0" xfId="42" applyNumberFormat="1" applyFont="1">
      <alignment/>
      <protection/>
    </xf>
    <xf numFmtId="0" fontId="87" fillId="0" borderId="0" xfId="0" applyFont="1" applyAlignment="1">
      <alignment/>
    </xf>
    <xf numFmtId="164" fontId="87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Continuous"/>
    </xf>
    <xf numFmtId="38" fontId="87" fillId="0" borderId="0" xfId="0" applyNumberFormat="1" applyFont="1" applyAlignment="1" applyProtection="1">
      <alignment/>
      <protection locked="0"/>
    </xf>
    <xf numFmtId="168" fontId="87" fillId="0" borderId="0" xfId="42" applyNumberFormat="1" applyFont="1">
      <alignment/>
      <protection/>
    </xf>
    <xf numFmtId="38" fontId="86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5" fontId="7" fillId="19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64" fontId="91" fillId="0" borderId="0" xfId="0" applyNumberFormat="1" applyFont="1" applyAlignment="1" applyProtection="1">
      <alignment horizontal="centerContinuous"/>
      <protection/>
    </xf>
    <xf numFmtId="164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37" fontId="92" fillId="0" borderId="0" xfId="0" applyNumberFormat="1" applyFont="1" applyAlignment="1" applyProtection="1">
      <alignment/>
      <protection/>
    </xf>
    <xf numFmtId="38" fontId="92" fillId="0" borderId="0" xfId="0" applyNumberFormat="1" applyFont="1" applyAlignment="1" applyProtection="1">
      <alignment/>
      <protection/>
    </xf>
    <xf numFmtId="0" fontId="93" fillId="0" borderId="0" xfId="0" applyFont="1" applyAlignment="1">
      <alignment/>
    </xf>
    <xf numFmtId="37" fontId="94" fillId="0" borderId="0" xfId="0" applyNumberFormat="1" applyFont="1" applyAlignment="1" applyProtection="1">
      <alignment/>
      <protection/>
    </xf>
    <xf numFmtId="38" fontId="94" fillId="0" borderId="0" xfId="0" applyNumberFormat="1" applyFont="1" applyAlignment="1" applyProtection="1">
      <alignment/>
      <protection/>
    </xf>
    <xf numFmtId="38" fontId="95" fillId="0" borderId="0" xfId="0" applyNumberFormat="1" applyFont="1" applyAlignment="1" applyProtection="1">
      <alignment/>
      <protection/>
    </xf>
    <xf numFmtId="168" fontId="96" fillId="0" borderId="0" xfId="42" applyNumberFormat="1" applyFont="1">
      <alignment/>
      <protection/>
    </xf>
    <xf numFmtId="0" fontId="92" fillId="0" borderId="0" xfId="0" applyFont="1" applyAlignment="1">
      <alignment/>
    </xf>
    <xf numFmtId="164" fontId="92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38" fontId="92" fillId="0" borderId="0" xfId="0" applyNumberFormat="1" applyFont="1" applyAlignment="1" applyProtection="1">
      <alignment/>
      <protection locked="0"/>
    </xf>
    <xf numFmtId="168" fontId="92" fillId="0" borderId="0" xfId="42" applyNumberFormat="1" applyFont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6" fontId="93" fillId="0" borderId="0" xfId="0" applyNumberFormat="1" applyFont="1" applyAlignment="1" applyProtection="1">
      <alignment horizontal="center"/>
      <protection/>
    </xf>
    <xf numFmtId="6" fontId="91" fillId="0" borderId="0" xfId="0" applyNumberFormat="1" applyFont="1" applyAlignment="1" applyProtection="1">
      <alignment/>
      <protection/>
    </xf>
    <xf numFmtId="168" fontId="92" fillId="0" borderId="11" xfId="42" applyNumberFormat="1" applyFont="1" applyBorder="1" applyProtection="1">
      <alignment/>
      <protection/>
    </xf>
    <xf numFmtId="168" fontId="92" fillId="0" borderId="0" xfId="42" applyNumberFormat="1" applyFont="1" applyProtection="1">
      <alignment/>
      <protection locked="0"/>
    </xf>
    <xf numFmtId="168" fontId="92" fillId="0" borderId="0" xfId="42" applyNumberFormat="1" applyFont="1" applyBorder="1">
      <alignment/>
      <protection/>
    </xf>
    <xf numFmtId="5" fontId="9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8" fontId="7" fillId="0" borderId="0" xfId="0" applyNumberFormat="1" applyFont="1" applyAlignment="1" applyProtection="1">
      <alignment/>
      <protection/>
    </xf>
    <xf numFmtId="168" fontId="4" fillId="0" borderId="0" xfId="42" applyNumberFormat="1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168" fontId="92" fillId="0" borderId="13" xfId="42" applyNumberFormat="1" applyFont="1" applyBorder="1">
      <alignment/>
      <protection/>
    </xf>
    <xf numFmtId="38" fontId="87" fillId="0" borderId="13" xfId="0" applyNumberFormat="1" applyFont="1" applyBorder="1" applyAlignment="1" applyProtection="1">
      <alignment/>
      <protection/>
    </xf>
    <xf numFmtId="38" fontId="13" fillId="0" borderId="13" xfId="0" applyNumberFormat="1" applyFont="1" applyBorder="1" applyAlignment="1" applyProtection="1">
      <alignment/>
      <protection/>
    </xf>
    <xf numFmtId="168" fontId="13" fillId="0" borderId="13" xfId="42" applyNumberFormat="1" applyFont="1" applyBorder="1">
      <alignment/>
      <protection/>
    </xf>
    <xf numFmtId="168" fontId="92" fillId="0" borderId="0" xfId="42" applyNumberFormat="1" applyFont="1" applyBorder="1" applyProtection="1">
      <alignment/>
      <protection/>
    </xf>
    <xf numFmtId="6" fontId="87" fillId="0" borderId="13" xfId="0" applyNumberFormat="1" applyFont="1" applyBorder="1" applyAlignment="1" applyProtection="1">
      <alignment/>
      <protection/>
    </xf>
    <xf numFmtId="168" fontId="13" fillId="0" borderId="13" xfId="0" applyNumberFormat="1" applyFont="1" applyBorder="1" applyAlignment="1" applyProtection="1">
      <alignment/>
      <protection/>
    </xf>
    <xf numFmtId="168" fontId="92" fillId="0" borderId="0" xfId="0" applyNumberFormat="1" applyFont="1" applyBorder="1" applyAlignment="1" applyProtection="1">
      <alignment/>
      <protection/>
    </xf>
    <xf numFmtId="38" fontId="87" fillId="0" borderId="13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164" fontId="23" fillId="0" borderId="0" xfId="57" applyNumberFormat="1" applyAlignment="1" applyProtection="1">
      <alignment horizontal="left"/>
      <protection/>
    </xf>
    <xf numFmtId="1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38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0" fontId="0" fillId="16" borderId="0" xfId="64" applyFill="1" applyAlignment="1">
      <alignment horizontal="left"/>
      <protection/>
    </xf>
    <xf numFmtId="168" fontId="13" fillId="0" borderId="0" xfId="0" applyNumberFormat="1" applyFont="1" applyBorder="1" applyAlignment="1" applyProtection="1">
      <alignment/>
      <protection/>
    </xf>
    <xf numFmtId="6" fontId="87" fillId="0" borderId="0" xfId="0" applyNumberFormat="1" applyFont="1" applyBorder="1" applyAlignment="1" applyProtection="1">
      <alignment/>
      <protection/>
    </xf>
    <xf numFmtId="168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13" fillId="0" borderId="0" xfId="42" applyNumberFormat="1" applyFont="1" applyBorder="1">
      <alignment/>
      <protection/>
    </xf>
    <xf numFmtId="0" fontId="7" fillId="0" borderId="13" xfId="64" applyFont="1" applyBorder="1">
      <alignment/>
      <protection/>
    </xf>
    <xf numFmtId="0" fontId="34" fillId="0" borderId="0" xfId="66" applyFont="1">
      <alignment/>
      <protection/>
    </xf>
    <xf numFmtId="0" fontId="32" fillId="0" borderId="0" xfId="66" applyFont="1" applyAlignment="1">
      <alignment horizontal="right"/>
      <protection/>
    </xf>
    <xf numFmtId="2" fontId="35" fillId="34" borderId="0" xfId="66" applyNumberFormat="1" applyFont="1" applyFill="1">
      <alignment/>
      <protection/>
    </xf>
    <xf numFmtId="0" fontId="35" fillId="34" borderId="0" xfId="66" applyFont="1" applyFill="1">
      <alignment/>
      <protection/>
    </xf>
    <xf numFmtId="2" fontId="35" fillId="34" borderId="0" xfId="66" applyNumberFormat="1" applyFont="1" applyFill="1" applyAlignment="1">
      <alignment horizontal="right"/>
      <protection/>
    </xf>
    <xf numFmtId="2" fontId="35" fillId="34" borderId="0" xfId="66" applyNumberFormat="1" applyFont="1" applyFill="1" applyAlignment="1">
      <alignment horizontal="center"/>
      <protection/>
    </xf>
    <xf numFmtId="0" fontId="33" fillId="34" borderId="14" xfId="66" applyFont="1" applyFill="1" applyBorder="1">
      <alignment/>
      <protection/>
    </xf>
    <xf numFmtId="2" fontId="33" fillId="34" borderId="14" xfId="66" applyNumberFormat="1" applyFont="1" applyFill="1" applyBorder="1">
      <alignment/>
      <protection/>
    </xf>
    <xf numFmtId="0" fontId="33" fillId="34" borderId="0" xfId="66" applyFont="1" applyFill="1">
      <alignment/>
      <protection/>
    </xf>
    <xf numFmtId="2" fontId="33" fillId="34" borderId="0" xfId="66" applyNumberFormat="1" applyFont="1" applyFill="1">
      <alignment/>
      <protection/>
    </xf>
    <xf numFmtId="0" fontId="7" fillId="0" borderId="0" xfId="64" applyFont="1" applyAlignment="1">
      <alignment horizontal="right"/>
      <protection/>
    </xf>
    <xf numFmtId="165" fontId="5" fillId="0" borderId="15" xfId="64" applyNumberFormat="1" applyFont="1" applyBorder="1">
      <alignment/>
      <protection/>
    </xf>
    <xf numFmtId="14" fontId="5" fillId="0" borderId="0" xfId="64" applyNumberFormat="1" applyFont="1" applyAlignment="1">
      <alignment horizontal="center"/>
      <protection/>
    </xf>
    <xf numFmtId="165" fontId="0" fillId="0" borderId="0" xfId="64" applyNumberFormat="1">
      <alignment/>
      <protection/>
    </xf>
    <xf numFmtId="187" fontId="0" fillId="0" borderId="0" xfId="64" applyNumberFormat="1">
      <alignment/>
      <protection/>
    </xf>
    <xf numFmtId="0" fontId="0" fillId="0" borderId="0" xfId="64" applyAlignment="1">
      <alignment horizontal="right"/>
      <protection/>
    </xf>
    <xf numFmtId="0" fontId="6" fillId="0" borderId="0" xfId="64" applyFont="1">
      <alignment/>
      <protection/>
    </xf>
    <xf numFmtId="0" fontId="5" fillId="0" borderId="0" xfId="64" applyFont="1" applyProtection="1">
      <alignment/>
      <protection locked="0"/>
    </xf>
    <xf numFmtId="0" fontId="8" fillId="0" borderId="0" xfId="64" applyFont="1">
      <alignment/>
      <protection/>
    </xf>
    <xf numFmtId="0" fontId="11" fillId="0" borderId="0" xfId="64" applyFont="1" applyAlignment="1">
      <alignment horizontal="left"/>
      <protection/>
    </xf>
    <xf numFmtId="10" fontId="5" fillId="0" borderId="0" xfId="64" applyNumberFormat="1" applyFont="1" applyProtection="1">
      <alignment/>
      <protection locked="0"/>
    </xf>
    <xf numFmtId="10" fontId="0" fillId="0" borderId="0" xfId="64" applyNumberFormat="1">
      <alignment/>
      <protection/>
    </xf>
    <xf numFmtId="0" fontId="24" fillId="0" borderId="0" xfId="63" applyAlignment="1">
      <alignment horizontal="right"/>
      <protection/>
    </xf>
    <xf numFmtId="0" fontId="11" fillId="16" borderId="0" xfId="64" applyFont="1" applyFill="1" applyAlignment="1">
      <alignment horizontal="left"/>
      <protection/>
    </xf>
    <xf numFmtId="0" fontId="8" fillId="16" borderId="0" xfId="64" applyFont="1" applyFill="1">
      <alignment/>
      <protection/>
    </xf>
    <xf numFmtId="0" fontId="11" fillId="16" borderId="0" xfId="64" applyFont="1" applyFill="1" applyAlignment="1">
      <alignment horizontal="center"/>
      <protection/>
    </xf>
    <xf numFmtId="0" fontId="0" fillId="16" borderId="0" xfId="64" applyFill="1">
      <alignment/>
      <protection/>
    </xf>
    <xf numFmtId="10" fontId="5" fillId="16" borderId="0" xfId="64" applyNumberFormat="1" applyFont="1" applyFill="1" applyProtection="1">
      <alignment/>
      <protection locked="0"/>
    </xf>
    <xf numFmtId="10" fontId="40" fillId="16" borderId="0" xfId="64" applyNumberFormat="1" applyFont="1" applyFill="1" applyProtection="1">
      <alignment/>
      <protection locked="0"/>
    </xf>
    <xf numFmtId="0" fontId="7" fillId="16" borderId="0" xfId="64" applyFont="1" applyFill="1">
      <alignment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>
      <alignment/>
      <protection/>
    </xf>
    <xf numFmtId="37" fontId="7" fillId="0" borderId="0" xfId="64" applyNumberFormat="1" applyFont="1">
      <alignment/>
      <protection/>
    </xf>
    <xf numFmtId="10" fontId="0" fillId="0" borderId="0" xfId="64" applyNumberFormat="1" applyAlignment="1">
      <alignment horizontal="center"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6" fontId="7" fillId="19" borderId="18" xfId="0" applyNumberFormat="1" applyFont="1" applyFill="1" applyBorder="1" applyAlignment="1" applyProtection="1">
      <alignment horizontal="center"/>
      <protection/>
    </xf>
    <xf numFmtId="6" fontId="7" fillId="19" borderId="19" xfId="0" applyNumberFormat="1" applyFont="1" applyFill="1" applyBorder="1" applyAlignment="1" applyProtection="1">
      <alignment horizontal="center"/>
      <protection/>
    </xf>
    <xf numFmtId="6" fontId="7" fillId="19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5" fontId="7" fillId="19" borderId="18" xfId="0" applyNumberFormat="1" applyFont="1" applyFill="1" applyBorder="1" applyAlignment="1" applyProtection="1">
      <alignment horizontal="center"/>
      <protection/>
    </xf>
    <xf numFmtId="5" fontId="7" fillId="19" borderId="19" xfId="0" applyNumberFormat="1" applyFont="1" applyFill="1" applyBorder="1" applyAlignment="1" applyProtection="1">
      <alignment horizontal="center"/>
      <protection/>
    </xf>
    <xf numFmtId="5" fontId="7" fillId="19" borderId="2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64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32" fillId="33" borderId="0" xfId="66" applyFont="1" applyFill="1" applyAlignment="1">
      <alignment horizontal="center"/>
      <protection/>
    </xf>
    <xf numFmtId="0" fontId="32" fillId="33" borderId="13" xfId="66" applyFont="1" applyFill="1" applyBorder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 of Copy of ModBudSprdsht" xfId="63"/>
    <cellStyle name="Normal_Copy of FY06-FED" xfId="64"/>
    <cellStyle name="Normal_ModBudSprdsht-cal-fringes" xfId="65"/>
    <cellStyle name="Normal_person_months_conversion_chart_rev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10</xdr:row>
      <xdr:rowOff>57150</xdr:rowOff>
    </xdr:from>
    <xdr:to>
      <xdr:col>0</xdr:col>
      <xdr:colOff>304800</xdr:colOff>
      <xdr:row>11</xdr:row>
      <xdr:rowOff>19050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573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57150</xdr:rowOff>
    </xdr:from>
    <xdr:to>
      <xdr:col>0</xdr:col>
      <xdr:colOff>323850</xdr:colOff>
      <xdr:row>11</xdr:row>
      <xdr:rowOff>38100</xdr:rowOff>
    </xdr:to>
    <xdr:pic>
      <xdr:nvPicPr>
        <xdr:cNvPr id="2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5735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f"/>
    </sheetNames>
    <sheetDataSet>
      <sheetData sheetId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6" sqref="A6"/>
    </sheetView>
  </sheetViews>
  <sheetFormatPr defaultColWidth="9.00390625" defaultRowHeight="15.75"/>
  <sheetData>
    <row r="1" s="77" customFormat="1" ht="17.25">
      <c r="A1" s="77" t="s">
        <v>103</v>
      </c>
    </row>
    <row r="3" s="71" customFormat="1" ht="15">
      <c r="A3" s="71" t="s">
        <v>96</v>
      </c>
    </row>
    <row r="4" ht="15">
      <c r="A4" t="s">
        <v>71</v>
      </c>
    </row>
    <row r="5" ht="15">
      <c r="B5" t="s">
        <v>79</v>
      </c>
    </row>
    <row r="6" spans="1:2" ht="18.75">
      <c r="A6" s="85"/>
      <c r="B6" s="84"/>
    </row>
    <row r="7" spans="1:2" ht="18.75">
      <c r="A7" s="85"/>
      <c r="B7" s="71"/>
    </row>
    <row r="9" ht="15">
      <c r="A9" t="s">
        <v>104</v>
      </c>
    </row>
    <row r="10" ht="15">
      <c r="B10" t="s">
        <v>146</v>
      </c>
    </row>
    <row r="11" ht="15">
      <c r="C11" t="s">
        <v>147</v>
      </c>
    </row>
    <row r="12" ht="15">
      <c r="B12" t="s">
        <v>148</v>
      </c>
    </row>
    <row r="13" ht="15">
      <c r="B13" t="s">
        <v>80</v>
      </c>
    </row>
    <row r="14" ht="15">
      <c r="B14" t="s">
        <v>81</v>
      </c>
    </row>
    <row r="15" ht="15">
      <c r="B15" t="s">
        <v>105</v>
      </c>
    </row>
    <row r="17" ht="15">
      <c r="B17" t="s">
        <v>82</v>
      </c>
    </row>
    <row r="18" ht="15">
      <c r="C18" t="s">
        <v>83</v>
      </c>
    </row>
    <row r="20" ht="15">
      <c r="B20" t="s">
        <v>97</v>
      </c>
    </row>
    <row r="21" ht="15">
      <c r="C21" t="s">
        <v>106</v>
      </c>
    </row>
    <row r="22" ht="15">
      <c r="C22" s="71" t="s">
        <v>107</v>
      </c>
    </row>
    <row r="23" ht="15">
      <c r="C23" s="71"/>
    </row>
    <row r="24" ht="15">
      <c r="B24" t="s">
        <v>112</v>
      </c>
    </row>
    <row r="25" ht="15">
      <c r="C25" s="71" t="s">
        <v>108</v>
      </c>
    </row>
    <row r="27" ht="15">
      <c r="B27" t="s">
        <v>84</v>
      </c>
    </row>
    <row r="29" spans="2:12" ht="15.75" customHeight="1">
      <c r="B29" s="243" t="s">
        <v>115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2:12" ht="15"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</row>
    <row r="31" spans="2:12" ht="15" hidden="1"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</row>
    <row r="32" spans="2:12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ht="15">
      <c r="B33" t="s">
        <v>109</v>
      </c>
    </row>
    <row r="34" ht="15">
      <c r="B34" t="s">
        <v>111</v>
      </c>
    </row>
    <row r="35" ht="15">
      <c r="C35" s="71" t="s">
        <v>72</v>
      </c>
    </row>
    <row r="36" spans="11:13" ht="15">
      <c r="K36" s="244">
        <f>'RATES-Non Fed'!Q67</f>
        <v>0</v>
      </c>
      <c r="L36" s="244"/>
      <c r="M36" s="244"/>
    </row>
    <row r="38" spans="2:12" ht="15">
      <c r="B38" s="243" t="s">
        <v>110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</row>
    <row r="39" spans="2:12" ht="15"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</row>
    <row r="40" spans="2:12" ht="1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2:12" ht="15">
      <c r="B41" s="243" t="s">
        <v>113</v>
      </c>
      <c r="C41" s="243"/>
      <c r="D41" s="243"/>
      <c r="E41" s="243"/>
      <c r="F41" s="243"/>
      <c r="G41" s="243"/>
      <c r="H41" s="243"/>
      <c r="I41" s="243"/>
      <c r="J41" s="243"/>
      <c r="K41" s="243"/>
      <c r="L41" s="83"/>
    </row>
    <row r="42" spans="2:12" ht="1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ht="15">
      <c r="B43" t="s">
        <v>73</v>
      </c>
    </row>
    <row r="45" ht="15">
      <c r="B45" t="s">
        <v>74</v>
      </c>
    </row>
    <row r="47" ht="15">
      <c r="B47" t="s">
        <v>75</v>
      </c>
    </row>
    <row r="49" ht="15">
      <c r="B49" t="s">
        <v>76</v>
      </c>
    </row>
    <row r="50" ht="15">
      <c r="B50" t="s">
        <v>77</v>
      </c>
    </row>
    <row r="52" ht="15">
      <c r="B52" t="s">
        <v>78</v>
      </c>
    </row>
    <row r="53" ht="15">
      <c r="B53" s="71" t="s">
        <v>114</v>
      </c>
    </row>
    <row r="71" spans="11:13" ht="15">
      <c r="K71" s="244">
        <f>'RATES-Non Fed'!Q67</f>
        <v>0</v>
      </c>
      <c r="L71" s="244"/>
      <c r="M71" s="244"/>
    </row>
  </sheetData>
  <sheetProtection/>
  <mergeCells count="5">
    <mergeCell ref="B29:L31"/>
    <mergeCell ref="B38:L39"/>
    <mergeCell ref="B41:K41"/>
    <mergeCell ref="K36:M36"/>
    <mergeCell ref="K71:M71"/>
  </mergeCells>
  <printOptions/>
  <pageMargins left="0.49" right="0.51" top="0.49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8"/>
  <sheetViews>
    <sheetView showGridLines="0" zoomScale="75" zoomScaleNormal="75" workbookViewId="0" topLeftCell="A1">
      <selection activeCell="F34" sqref="F34:F38"/>
    </sheetView>
  </sheetViews>
  <sheetFormatPr defaultColWidth="9.625" defaultRowHeight="15.75"/>
  <cols>
    <col min="1" max="1" width="2.625" style="0" customWidth="1"/>
    <col min="2" max="2" width="31.00390625" style="0" bestFit="1" customWidth="1"/>
    <col min="3" max="3" width="20.50390625" style="0" customWidth="1"/>
    <col min="4" max="4" width="16.125" style="0" customWidth="1"/>
    <col min="5" max="5" width="8.75390625" style="0" customWidth="1"/>
    <col min="6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39" bestFit="1" customWidth="1"/>
    <col min="12" max="12" width="10.125" style="159" bestFit="1" customWidth="1"/>
    <col min="13" max="13" width="14.625" style="0" customWidth="1"/>
    <col min="14" max="14" width="2.625" style="0" customWidth="1"/>
  </cols>
  <sheetData>
    <row r="1" spans="1:1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25"/>
    </row>
    <row r="2" spans="1:12" ht="18.75">
      <c r="A2" s="17" t="s">
        <v>156</v>
      </c>
      <c r="B2" s="18"/>
      <c r="C2" s="18"/>
      <c r="D2" s="18"/>
      <c r="E2" s="18"/>
      <c r="F2" s="18"/>
      <c r="G2" s="18"/>
      <c r="H2" s="18"/>
      <c r="I2" s="18"/>
      <c r="J2" s="19"/>
      <c r="K2" s="125"/>
      <c r="L2" s="147"/>
    </row>
    <row r="3" spans="1:13" ht="9.75" customHeight="1">
      <c r="A3" s="10" t="s">
        <v>1</v>
      </c>
      <c r="B3" s="1"/>
      <c r="J3" s="11" t="s">
        <v>1</v>
      </c>
      <c r="K3" s="126"/>
      <c r="L3" s="148"/>
      <c r="M3" s="8"/>
    </row>
    <row r="4" spans="1:15" ht="15.75">
      <c r="A4" s="22" t="s">
        <v>2</v>
      </c>
      <c r="B4" s="1"/>
      <c r="D4" s="10" t="s">
        <v>70</v>
      </c>
      <c r="G4" s="3"/>
      <c r="I4" s="173" t="s">
        <v>70</v>
      </c>
      <c r="J4" s="20" t="s">
        <v>3</v>
      </c>
      <c r="K4" s="248" t="s">
        <v>70</v>
      </c>
      <c r="L4" s="249"/>
      <c r="M4" s="249"/>
      <c r="N4" s="249"/>
      <c r="O4" s="250"/>
    </row>
    <row r="5" spans="1:15" ht="18.75" customHeight="1">
      <c r="A5" s="22" t="s">
        <v>4</v>
      </c>
      <c r="B5" s="1"/>
      <c r="D5" s="10" t="s">
        <v>70</v>
      </c>
      <c r="E5" s="3"/>
      <c r="F5" s="3"/>
      <c r="H5" s="38"/>
      <c r="I5" s="175"/>
      <c r="K5" s="251"/>
      <c r="L5" s="252"/>
      <c r="M5" s="252"/>
      <c r="N5" s="252"/>
      <c r="O5" s="253"/>
    </row>
    <row r="6" spans="1:13" ht="15.75">
      <c r="A6" s="14"/>
      <c r="B6" s="22" t="s">
        <v>5</v>
      </c>
      <c r="D6" s="73">
        <f>'RATES-Non Fed'!E2</f>
        <v>44317</v>
      </c>
      <c r="E6" s="12" t="s">
        <v>6</v>
      </c>
      <c r="F6" s="12"/>
      <c r="G6" s="73">
        <f>'RATES-Non Fed'!G2</f>
        <v>46142</v>
      </c>
      <c r="H6" s="4"/>
      <c r="I6" s="4"/>
      <c r="J6" s="2"/>
      <c r="K6" s="127"/>
      <c r="L6" s="149"/>
      <c r="M6" s="8"/>
    </row>
    <row r="7" spans="5:14" ht="7.5" customHeight="1">
      <c r="E7" s="3"/>
      <c r="F7" s="3"/>
      <c r="G7" s="1"/>
      <c r="H7" s="1"/>
      <c r="I7" s="1"/>
      <c r="J7" s="16" t="s">
        <v>1</v>
      </c>
      <c r="K7" s="126"/>
      <c r="L7" s="148"/>
      <c r="M7" s="8"/>
      <c r="N7" s="1"/>
    </row>
    <row r="8" spans="1:14" ht="15.75">
      <c r="A8" s="21"/>
      <c r="B8" s="119" t="s">
        <v>10</v>
      </c>
      <c r="C8" s="21"/>
      <c r="D8" s="21"/>
      <c r="E8" s="21"/>
      <c r="F8" s="21"/>
      <c r="G8" s="21"/>
      <c r="H8" s="21"/>
      <c r="I8" s="21"/>
      <c r="J8" s="245" t="s">
        <v>21</v>
      </c>
      <c r="K8" s="246"/>
      <c r="L8" s="247"/>
      <c r="M8" s="145" t="s">
        <v>8</v>
      </c>
      <c r="N8" s="21"/>
    </row>
    <row r="9" spans="1:14" s="121" customFormat="1" ht="15.75">
      <c r="A9" s="119" t="s">
        <v>9</v>
      </c>
      <c r="B9" s="33" t="s">
        <v>183</v>
      </c>
      <c r="C9" s="119"/>
      <c r="D9" s="119"/>
      <c r="E9" s="119"/>
      <c r="F9" s="119"/>
      <c r="G9" s="119"/>
      <c r="H9" s="119"/>
      <c r="I9" s="119"/>
      <c r="J9" s="163" t="s">
        <v>149</v>
      </c>
      <c r="K9" s="128" t="s">
        <v>150</v>
      </c>
      <c r="L9" s="119" t="s">
        <v>151</v>
      </c>
      <c r="M9" s="120"/>
      <c r="N9" s="119"/>
    </row>
    <row r="10" spans="1:14" ht="15.75">
      <c r="A10" s="1"/>
      <c r="C10" s="24"/>
      <c r="D10" s="24" t="s">
        <v>101</v>
      </c>
      <c r="E10" s="1" t="s">
        <v>12</v>
      </c>
      <c r="F10" s="41" t="s">
        <v>123</v>
      </c>
      <c r="G10" s="41" t="s">
        <v>13</v>
      </c>
      <c r="H10" s="1"/>
      <c r="I10" s="1"/>
      <c r="J10" s="164"/>
      <c r="K10" s="126"/>
      <c r="L10" s="117"/>
      <c r="M10" s="2">
        <f>IF(SUM(J10:L10)=0,"",SUM(J10:L10))</f>
      </c>
      <c r="N10" s="1"/>
    </row>
    <row r="11" spans="1:14" ht="15.75">
      <c r="A11" s="1"/>
      <c r="B11" s="1" t="s">
        <v>14</v>
      </c>
      <c r="C11" s="10" t="str">
        <f>D5</f>
        <v>name</v>
      </c>
      <c r="D11" s="115" t="s">
        <v>125</v>
      </c>
      <c r="E11" s="70">
        <v>0</v>
      </c>
      <c r="F11" s="89">
        <f>IF(D11="CAL",(52*E11/4.3333),(IF(D11="ACAD",(36.35*E11/4.33333),IF(D11="SUMR",(15.65*E11/4.33333),IF(D11="PT",(0),0)))))</f>
        <v>0</v>
      </c>
      <c r="G11" s="69">
        <v>0</v>
      </c>
      <c r="J11" s="161">
        <f>ROUND(G11*E11,0)</f>
        <v>0</v>
      </c>
      <c r="K11" s="129">
        <f>ROUND(J11*'RATES-Non Fed'!E38,0)</f>
        <v>0</v>
      </c>
      <c r="L11" s="67">
        <f>ROUND(K11+J11,0)</f>
        <v>0</v>
      </c>
      <c r="M11" s="42">
        <f>SUM(L11)</f>
        <v>0</v>
      </c>
      <c r="N11" s="1"/>
    </row>
    <row r="12" spans="1:14" ht="15.75">
      <c r="A12" s="1"/>
      <c r="B12" s="1" t="s">
        <v>14</v>
      </c>
      <c r="C12" s="3"/>
      <c r="D12" s="115" t="str">
        <f>IF(D11="ACAD",("SUMR"),"")</f>
        <v>SUMR</v>
      </c>
      <c r="E12" s="70">
        <v>0</v>
      </c>
      <c r="F12" s="89">
        <f aca="true" t="shared" si="0" ref="F12:F17">IF(D12="CAL",(52*E12/4.3333),(IF(D12="ACAD",(36.35*E12/4.33333),IF(D12="SUMR",(15.65*E12/4.33333),IF(D12="PT",(0),0)))))</f>
        <v>0</v>
      </c>
      <c r="G12" s="69">
        <f>+G11*0.4375</f>
        <v>0</v>
      </c>
      <c r="J12" s="161">
        <f aca="true" t="shared" si="1" ref="J12:J17">ROUND(G12*E12,0)</f>
        <v>0</v>
      </c>
      <c r="K12" s="129">
        <f>ROUND(J12*'RATES-Non Fed'!E38,0)</f>
        <v>0</v>
      </c>
      <c r="L12" s="67">
        <f aca="true" t="shared" si="2" ref="L12:L17">ROUND(K12+J12,0)</f>
        <v>0</v>
      </c>
      <c r="M12" s="42">
        <f aca="true" t="shared" si="3" ref="M12:M17">SUM(L12)</f>
        <v>0</v>
      </c>
      <c r="N12" s="1"/>
    </row>
    <row r="13" spans="1:14" ht="15.75">
      <c r="A13" s="1"/>
      <c r="B13" s="1" t="s">
        <v>15</v>
      </c>
      <c r="C13" s="3"/>
      <c r="D13" s="115" t="s">
        <v>125</v>
      </c>
      <c r="E13" s="70">
        <v>0</v>
      </c>
      <c r="F13" s="89">
        <f t="shared" si="0"/>
        <v>0</v>
      </c>
      <c r="G13" s="69">
        <v>0</v>
      </c>
      <c r="J13" s="161">
        <f t="shared" si="1"/>
        <v>0</v>
      </c>
      <c r="K13" s="129">
        <f>ROUND(J13*'RATES-Non Fed'!E38,0)</f>
        <v>0</v>
      </c>
      <c r="L13" s="67">
        <f t="shared" si="2"/>
        <v>0</v>
      </c>
      <c r="M13" s="42">
        <f t="shared" si="3"/>
        <v>0</v>
      </c>
      <c r="N13" s="1"/>
    </row>
    <row r="14" spans="1:13" ht="15.75">
      <c r="A14" s="1"/>
      <c r="B14" s="1"/>
      <c r="C14" s="3"/>
      <c r="D14" s="115" t="str">
        <f>IF(D13="ACAD",("SUMR"),"")</f>
        <v>SUMR</v>
      </c>
      <c r="E14" s="70">
        <v>0</v>
      </c>
      <c r="F14" s="89">
        <f t="shared" si="0"/>
        <v>0</v>
      </c>
      <c r="G14" s="69">
        <f>+G13*0.4375</f>
        <v>0</v>
      </c>
      <c r="J14" s="161">
        <f t="shared" si="1"/>
        <v>0</v>
      </c>
      <c r="K14" s="129">
        <f>ROUND(J14*'RATES-Non Fed'!E38,0)</f>
        <v>0</v>
      </c>
      <c r="L14" s="67">
        <f t="shared" si="2"/>
        <v>0</v>
      </c>
      <c r="M14" s="42">
        <f t="shared" si="3"/>
        <v>0</v>
      </c>
    </row>
    <row r="15" spans="1:14" ht="15.75">
      <c r="A15" s="1"/>
      <c r="B15" s="1" t="s">
        <v>15</v>
      </c>
      <c r="C15" s="3"/>
      <c r="D15" s="115" t="s">
        <v>124</v>
      </c>
      <c r="E15" s="70">
        <v>0</v>
      </c>
      <c r="F15" s="89">
        <f t="shared" si="0"/>
        <v>0</v>
      </c>
      <c r="G15" s="69">
        <v>0</v>
      </c>
      <c r="J15" s="161">
        <f t="shared" si="1"/>
        <v>0</v>
      </c>
      <c r="K15" s="129">
        <f>ROUND(J15*'RATES-Non Fed'!E38,0)</f>
        <v>0</v>
      </c>
      <c r="L15" s="67">
        <f t="shared" si="2"/>
        <v>0</v>
      </c>
      <c r="M15" s="42">
        <f t="shared" si="3"/>
        <v>0</v>
      </c>
      <c r="N15" s="1"/>
    </row>
    <row r="16" spans="1:14" ht="15.75">
      <c r="A16" s="1"/>
      <c r="B16" s="1" t="s">
        <v>15</v>
      </c>
      <c r="C16" s="3"/>
      <c r="D16" s="115" t="s">
        <v>124</v>
      </c>
      <c r="E16" s="70">
        <v>0</v>
      </c>
      <c r="F16" s="89">
        <f t="shared" si="0"/>
        <v>0</v>
      </c>
      <c r="G16" s="69">
        <v>0</v>
      </c>
      <c r="J16" s="161">
        <f t="shared" si="1"/>
        <v>0</v>
      </c>
      <c r="K16" s="129">
        <f>ROUND(J16*'RATES-Non Fed'!E38,0)</f>
        <v>0</v>
      </c>
      <c r="L16" s="67">
        <f t="shared" si="2"/>
        <v>0</v>
      </c>
      <c r="M16" s="42">
        <f t="shared" si="3"/>
        <v>0</v>
      </c>
      <c r="N16" s="1"/>
    </row>
    <row r="17" spans="1:13" ht="15.75">
      <c r="A17" s="1"/>
      <c r="B17" s="1" t="s">
        <v>15</v>
      </c>
      <c r="C17" s="3"/>
      <c r="D17" s="115" t="s">
        <v>124</v>
      </c>
      <c r="E17" s="70">
        <v>0</v>
      </c>
      <c r="F17" s="89">
        <f t="shared" si="0"/>
        <v>0</v>
      </c>
      <c r="G17" s="69">
        <v>0</v>
      </c>
      <c r="J17" s="176">
        <f t="shared" si="1"/>
        <v>0</v>
      </c>
      <c r="K17" s="181">
        <f>ROUND(J17*'RATES-Non Fed'!E38,0)</f>
        <v>0</v>
      </c>
      <c r="L17" s="182">
        <f t="shared" si="2"/>
        <v>0</v>
      </c>
      <c r="M17" s="179">
        <f t="shared" si="3"/>
        <v>0</v>
      </c>
    </row>
    <row r="18" spans="1:14" ht="15.75">
      <c r="A18" s="1"/>
      <c r="B18" s="1"/>
      <c r="C18" s="200"/>
      <c r="D18" s="25" t="s">
        <v>184</v>
      </c>
      <c r="E18" s="26"/>
      <c r="F18" s="26"/>
      <c r="G18" s="1"/>
      <c r="H18" s="1"/>
      <c r="I18" s="1"/>
      <c r="J18" s="180">
        <f>SUM(J11:J17)</f>
        <v>0</v>
      </c>
      <c r="K18" s="130">
        <f>SUM(K11:K17)</f>
        <v>0</v>
      </c>
      <c r="L18" s="46">
        <f>SUM(L11:L17)</f>
        <v>0</v>
      </c>
      <c r="M18" s="42">
        <f>SUM(M11:M17)</f>
        <v>0</v>
      </c>
      <c r="N18" s="6"/>
    </row>
    <row r="19" spans="1:14" ht="15.75">
      <c r="A19" s="200" t="s">
        <v>180</v>
      </c>
      <c r="B19" s="21" t="s">
        <v>181</v>
      </c>
      <c r="C19" s="1"/>
      <c r="D19" s="25"/>
      <c r="E19" s="26"/>
      <c r="F19" s="26"/>
      <c r="G19" s="1"/>
      <c r="H19" s="1"/>
      <c r="I19" s="1"/>
      <c r="J19" s="180"/>
      <c r="K19" s="130"/>
      <c r="L19" s="46"/>
      <c r="M19" s="42"/>
      <c r="N19" s="6"/>
    </row>
    <row r="20" spans="1:14" ht="15.75">
      <c r="A20" s="1"/>
      <c r="B20" s="1" t="s">
        <v>15</v>
      </c>
      <c r="C20" s="3"/>
      <c r="D20" s="115" t="s">
        <v>124</v>
      </c>
      <c r="E20" s="70">
        <v>0</v>
      </c>
      <c r="F20" s="89">
        <f>IF(D20="CAL",(52*E20/4.3333),(IF(D20="ACAD",(32*E20/4.33333),IF(D20="SUMR",(14*E20/4.33333),IF(D20="PT",(0),0)))))</f>
        <v>0</v>
      </c>
      <c r="G20" s="69">
        <v>0</v>
      </c>
      <c r="J20" s="161">
        <f>ROUND(G20*E20,0)</f>
        <v>0</v>
      </c>
      <c r="K20" s="129">
        <f>ROUND(J20*'RATES-Non Fed'!E40,0)</f>
        <v>0</v>
      </c>
      <c r="L20" s="67">
        <f>ROUND(K20+J20,0)</f>
        <v>0</v>
      </c>
      <c r="M20" s="42">
        <f>SUM(L20)</f>
        <v>0</v>
      </c>
      <c r="N20" s="1"/>
    </row>
    <row r="21" spans="1:14" ht="15.75">
      <c r="A21" s="1"/>
      <c r="B21" s="1" t="s">
        <v>15</v>
      </c>
      <c r="C21" s="3"/>
      <c r="D21" s="115" t="s">
        <v>124</v>
      </c>
      <c r="E21" s="70">
        <v>0</v>
      </c>
      <c r="F21" s="89">
        <f>IF(D21="CAL",(52*E21/4.3333),(IF(D21="ACAD",(32*E21/4.33333),IF(D21="SUMR",(14*E21/4.33333),IF(D21="PT",(0),0)))))</f>
        <v>0</v>
      </c>
      <c r="G21" s="69">
        <v>0</v>
      </c>
      <c r="J21" s="161">
        <f>ROUND(G21*E21,0)</f>
        <v>0</v>
      </c>
      <c r="K21" s="129">
        <f>ROUND(J21*'RATES-Non Fed'!E40,0)</f>
        <v>0</v>
      </c>
      <c r="L21" s="67">
        <f>ROUND(K21+J21,0)</f>
        <v>0</v>
      </c>
      <c r="M21" s="42">
        <f>SUM(L21)</f>
        <v>0</v>
      </c>
      <c r="N21" s="1"/>
    </row>
    <row r="22" spans="1:14" ht="15.75">
      <c r="A22" s="1"/>
      <c r="B22" s="1" t="s">
        <v>15</v>
      </c>
      <c r="C22" s="3"/>
      <c r="D22" s="115" t="s">
        <v>124</v>
      </c>
      <c r="E22" s="70">
        <v>0</v>
      </c>
      <c r="F22" s="89">
        <f>IF(D22="CAL",(52*E22/4.3333),(IF(D22="ACAD",(32*E22/4.33333),IF(D22="SUMR",(14*E22/4.33333),IF(D22="PT",(0),0)))))</f>
        <v>0</v>
      </c>
      <c r="G22" s="69">
        <v>0</v>
      </c>
      <c r="J22" s="161">
        <f>ROUND(G22*E22,0)</f>
        <v>0</v>
      </c>
      <c r="K22" s="129">
        <f>ROUND(J22*'RATES-Non Fed'!E40,0)</f>
        <v>0</v>
      </c>
      <c r="L22" s="67">
        <f>ROUND(K22+J22,0)</f>
        <v>0</v>
      </c>
      <c r="M22" s="42">
        <f>SUM(L22)</f>
        <v>0</v>
      </c>
      <c r="N22" s="1"/>
    </row>
    <row r="23" spans="1:13" ht="15.75">
      <c r="A23" s="1"/>
      <c r="B23" s="1" t="s">
        <v>15</v>
      </c>
      <c r="C23" s="3"/>
      <c r="D23" s="115" t="s">
        <v>124</v>
      </c>
      <c r="E23" s="70">
        <v>0</v>
      </c>
      <c r="F23" s="89">
        <f>IF(D23="CAL",(52*E23/4.3333),(IF(D23="ACAD",(32*E23/4.33333),IF(D23="SUMR",(14*E23/4.33333),IF(D23="PT",(0),0)))))</f>
        <v>0</v>
      </c>
      <c r="G23" s="69">
        <v>0</v>
      </c>
      <c r="J23" s="176">
        <f>ROUND(G23*E23,0)</f>
        <v>0</v>
      </c>
      <c r="K23" s="181">
        <f>ROUND(J23*'RATES-Non Fed'!E40,0)</f>
        <v>0</v>
      </c>
      <c r="L23" s="182">
        <f>ROUND(K23+J23,0)</f>
        <v>0</v>
      </c>
      <c r="M23" s="179">
        <f>SUM(L23)</f>
        <v>0</v>
      </c>
    </row>
    <row r="24" spans="1:14" ht="15.75">
      <c r="A24" s="1"/>
      <c r="B24" s="1"/>
      <c r="C24" s="1"/>
      <c r="D24" s="25" t="s">
        <v>185</v>
      </c>
      <c r="E24" s="26"/>
      <c r="F24" s="26"/>
      <c r="G24" s="1"/>
      <c r="H24" s="1"/>
      <c r="I24" s="1"/>
      <c r="J24" s="180">
        <f>SUM(J20:J23)</f>
        <v>0</v>
      </c>
      <c r="K24" s="130">
        <f>SUM(K20:K23)</f>
        <v>0</v>
      </c>
      <c r="L24" s="46">
        <f>SUM(L20:L23)</f>
        <v>0</v>
      </c>
      <c r="M24" s="42">
        <f>SUM(M20:M23)</f>
        <v>0</v>
      </c>
      <c r="N24" s="6"/>
    </row>
    <row r="25" spans="1:14" ht="7.5" customHeight="1">
      <c r="A25" s="1"/>
      <c r="B25" s="1"/>
      <c r="C25" s="1"/>
      <c r="D25" s="26"/>
      <c r="E25" s="26"/>
      <c r="F25" s="26"/>
      <c r="G25" s="1"/>
      <c r="H25" s="1"/>
      <c r="I25" s="1"/>
      <c r="J25" s="166"/>
      <c r="K25" s="130"/>
      <c r="L25" s="46"/>
      <c r="M25" s="42"/>
      <c r="N25" s="6"/>
    </row>
    <row r="26" spans="1:14" ht="15.75">
      <c r="A26" s="22" t="s">
        <v>182</v>
      </c>
      <c r="B26" s="22" t="s">
        <v>17</v>
      </c>
      <c r="C26" s="1"/>
      <c r="D26" s="26"/>
      <c r="E26" s="1"/>
      <c r="F26" s="1"/>
      <c r="G26" s="41"/>
      <c r="H26" s="1"/>
      <c r="I26" s="1"/>
      <c r="J26" s="164"/>
      <c r="K26" s="126"/>
      <c r="L26" s="117"/>
      <c r="M26" s="42"/>
      <c r="N26" s="6"/>
    </row>
    <row r="27" spans="1:14" ht="15.75">
      <c r="A27" s="1"/>
      <c r="C27" s="13" t="s">
        <v>87</v>
      </c>
      <c r="D27" s="41" t="s">
        <v>121</v>
      </c>
      <c r="E27" s="68"/>
      <c r="F27" s="68"/>
      <c r="G27" s="59"/>
      <c r="J27" s="161"/>
      <c r="K27" s="131"/>
      <c r="L27" s="50"/>
      <c r="M27" s="42"/>
      <c r="N27" s="5"/>
    </row>
    <row r="28" spans="1:14" ht="15.75">
      <c r="A28" s="1"/>
      <c r="C28" s="13"/>
      <c r="D28" s="1"/>
      <c r="E28" s="70">
        <v>0</v>
      </c>
      <c r="F28" s="88">
        <f>SUM(52*E28/4.3333)</f>
        <v>0</v>
      </c>
      <c r="G28" s="69">
        <v>0</v>
      </c>
      <c r="J28" s="161">
        <f>ROUND(G28*E28,0)</f>
        <v>0</v>
      </c>
      <c r="K28" s="131">
        <f>ROUND(J28*'RATES-Non Fed'!E39,0)</f>
        <v>0</v>
      </c>
      <c r="L28" s="50">
        <f>SUM(J28:K28)</f>
        <v>0</v>
      </c>
      <c r="M28" s="42">
        <f>SUM(L28)</f>
        <v>0</v>
      </c>
      <c r="N28" s="5"/>
    </row>
    <row r="29" spans="1:14" ht="15.75">
      <c r="A29" s="1"/>
      <c r="C29" s="13"/>
      <c r="D29" s="1"/>
      <c r="E29" s="70">
        <v>0</v>
      </c>
      <c r="F29" s="88">
        <f>SUM(52*E29/4.3333)</f>
        <v>0</v>
      </c>
      <c r="G29" s="69">
        <v>0</v>
      </c>
      <c r="J29" s="161">
        <f>ROUND(G29*E29,0)</f>
        <v>0</v>
      </c>
      <c r="K29" s="131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 ht="15.75">
      <c r="A30" s="1"/>
      <c r="C30" s="13"/>
      <c r="D30" s="1"/>
      <c r="E30" s="70">
        <v>0</v>
      </c>
      <c r="F30" s="88">
        <f>SUM(52*E30/4.3333)</f>
        <v>0</v>
      </c>
      <c r="G30" s="69">
        <v>0</v>
      </c>
      <c r="J30" s="161">
        <f>ROUND(G30*E30,0)</f>
        <v>0</v>
      </c>
      <c r="K30" s="131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ht="15.75">
      <c r="A31" s="1"/>
      <c r="C31" s="13"/>
      <c r="D31" s="1"/>
      <c r="E31" s="70">
        <v>0</v>
      </c>
      <c r="F31" s="88">
        <f>SUM(52*E31/4.3333)</f>
        <v>0</v>
      </c>
      <c r="G31" s="69">
        <v>0</v>
      </c>
      <c r="J31" s="176">
        <f>ROUND(G31*E31,0)</f>
        <v>0</v>
      </c>
      <c r="K31" s="177">
        <f>ROUND(J31*'RATES-Non Fed'!E39,0)</f>
        <v>0</v>
      </c>
      <c r="L31" s="178">
        <f>SUM(J31:K31)</f>
        <v>0</v>
      </c>
      <c r="M31" s="179">
        <f>SUM(L31)</f>
        <v>0</v>
      </c>
      <c r="N31" s="5"/>
    </row>
    <row r="32" spans="1:14" ht="15.75">
      <c r="A32" s="1"/>
      <c r="C32" s="13"/>
      <c r="D32" s="1" t="s">
        <v>122</v>
      </c>
      <c r="E32" s="70"/>
      <c r="F32" s="70"/>
      <c r="G32" s="69"/>
      <c r="J32" s="167">
        <f>SUM(J28:J31)</f>
        <v>0</v>
      </c>
      <c r="K32" s="131">
        <f>SUM(K28:K31)</f>
        <v>0</v>
      </c>
      <c r="L32" s="50">
        <f>SUM(L28:L31)</f>
        <v>0</v>
      </c>
      <c r="M32" s="42">
        <f>SUM(M28:M31)</f>
        <v>0</v>
      </c>
      <c r="N32" s="5"/>
    </row>
    <row r="33" spans="1:14" ht="9.75" customHeight="1">
      <c r="A33" s="1"/>
      <c r="C33" s="13"/>
      <c r="D33" s="1"/>
      <c r="E33" s="70"/>
      <c r="F33" s="70"/>
      <c r="G33" s="69"/>
      <c r="J33" s="167"/>
      <c r="K33" s="131"/>
      <c r="L33" s="50"/>
      <c r="M33" s="42"/>
      <c r="N33" s="5"/>
    </row>
    <row r="34" spans="1:14" ht="15.75">
      <c r="A34" s="1"/>
      <c r="C34" s="13" t="s">
        <v>88</v>
      </c>
      <c r="D34" s="1"/>
      <c r="E34" s="70">
        <v>0</v>
      </c>
      <c r="F34" s="88">
        <f>SUM(52*E34/4.3333)</f>
        <v>0</v>
      </c>
      <c r="G34" s="69">
        <v>0</v>
      </c>
      <c r="J34" s="161">
        <f>ROUND(G34*E34,0)</f>
        <v>0</v>
      </c>
      <c r="K34" s="131">
        <f>ROUND(J34*'RATES-Non Fed'!E43,0)</f>
        <v>0</v>
      </c>
      <c r="L34" s="50">
        <f>SUM(J34:K34)</f>
        <v>0</v>
      </c>
      <c r="M34" s="42">
        <f>SUM(L34)</f>
        <v>0</v>
      </c>
      <c r="N34" s="5"/>
    </row>
    <row r="35" spans="1:14" ht="15.75">
      <c r="A35" s="1"/>
      <c r="C35" s="13" t="s">
        <v>18</v>
      </c>
      <c r="D35" s="1"/>
      <c r="E35" s="70">
        <v>0</v>
      </c>
      <c r="F35" s="88">
        <f>SUM(52*E35/4.3333)</f>
        <v>0</v>
      </c>
      <c r="G35" s="69">
        <v>0</v>
      </c>
      <c r="J35" s="161">
        <f>ROUND(G35*E35,0)</f>
        <v>0</v>
      </c>
      <c r="K35" s="131">
        <f>ROUND(J35*'RATES-Non Fed'!E42,0)</f>
        <v>0</v>
      </c>
      <c r="L35" s="50">
        <f>SUM(J35:K35)</f>
        <v>0</v>
      </c>
      <c r="M35" s="42">
        <f>SUM(L35)</f>
        <v>0</v>
      </c>
      <c r="N35" s="5"/>
    </row>
    <row r="36" spans="1:14" ht="15.75">
      <c r="A36" s="1"/>
      <c r="C36" s="13" t="s">
        <v>19</v>
      </c>
      <c r="D36" s="1"/>
      <c r="E36" s="70">
        <v>0</v>
      </c>
      <c r="F36" s="88">
        <f>SUM(52*E36/4.3333)</f>
        <v>0</v>
      </c>
      <c r="G36" s="69">
        <v>0</v>
      </c>
      <c r="J36" s="161">
        <f>ROUND(G36*E36,0)</f>
        <v>0</v>
      </c>
      <c r="K36" s="131">
        <f>ROUND(J36*'RATES-Non Fed'!E42,0)</f>
        <v>0</v>
      </c>
      <c r="L36" s="50">
        <f>SUM(J36:K36)</f>
        <v>0</v>
      </c>
      <c r="M36" s="42">
        <f>SUM(L36)</f>
        <v>0</v>
      </c>
      <c r="N36" s="5"/>
    </row>
    <row r="37" spans="1:14" s="84" customFormat="1" ht="15.75">
      <c r="A37" s="117"/>
      <c r="C37" s="116" t="s">
        <v>20</v>
      </c>
      <c r="D37" s="117"/>
      <c r="E37" s="70">
        <v>0</v>
      </c>
      <c r="F37" s="88">
        <f>SUM(52*E37/4.3333)</f>
        <v>0</v>
      </c>
      <c r="G37" s="69">
        <v>0</v>
      </c>
      <c r="J37" s="161">
        <f>ROUND(G37*E37,0)</f>
        <v>0</v>
      </c>
      <c r="K37" s="131">
        <f>ROUND(J37*'RATES-Non Fed'!E43,0)</f>
        <v>0</v>
      </c>
      <c r="L37" s="50">
        <f>SUM(J37:K37)</f>
        <v>0</v>
      </c>
      <c r="M37" s="42">
        <f>SUM(L37)</f>
        <v>0</v>
      </c>
      <c r="N37" s="124"/>
    </row>
    <row r="38" spans="1:14" s="84" customFormat="1" ht="15.75">
      <c r="A38" s="117"/>
      <c r="C38" s="116" t="s">
        <v>89</v>
      </c>
      <c r="D38" s="117"/>
      <c r="E38" s="70">
        <v>0</v>
      </c>
      <c r="F38" s="88">
        <f>SUM(52*E38/4.3333)</f>
        <v>0</v>
      </c>
      <c r="G38" s="69">
        <v>0</v>
      </c>
      <c r="J38" s="176">
        <f>ROUND(G38*E38,0)</f>
        <v>0</v>
      </c>
      <c r="K38" s="177">
        <f>ROUND(J38*'RATES-Non Fed'!E41,0)</f>
        <v>0</v>
      </c>
      <c r="L38" s="178">
        <f>SUM(J38:K38)</f>
        <v>0</v>
      </c>
      <c r="M38" s="179">
        <f>SUM(L38)</f>
        <v>0</v>
      </c>
      <c r="N38" s="124"/>
    </row>
    <row r="39" spans="1:14" ht="15.75">
      <c r="A39" s="1"/>
      <c r="B39" s="1"/>
      <c r="C39" s="1"/>
      <c r="D39" s="162" t="s">
        <v>152</v>
      </c>
      <c r="E39" s="26"/>
      <c r="F39" s="26"/>
      <c r="G39" s="1"/>
      <c r="H39" s="1"/>
      <c r="I39" s="1"/>
      <c r="J39" s="183">
        <f>SUM(J18+J24+J32+J34+J35+J36+J37+J38)</f>
        <v>0</v>
      </c>
      <c r="K39" s="131">
        <f>SUM(K18+K24+K32+K34+K35+K36+K37+K38)</f>
        <v>0</v>
      </c>
      <c r="L39" s="50">
        <f>SUM(L34:L38)</f>
        <v>0</v>
      </c>
      <c r="M39" s="42">
        <f>SUM(M34:M38)</f>
        <v>0</v>
      </c>
      <c r="N39" s="5"/>
    </row>
    <row r="40" spans="1:14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30"/>
      <c r="L40" s="150"/>
      <c r="M40" s="64" t="s">
        <v>1</v>
      </c>
      <c r="N40" s="6"/>
    </row>
    <row r="41" spans="1:14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32"/>
      <c r="L41" s="152"/>
      <c r="M41" s="47">
        <f>SUM(J41)</f>
        <v>0</v>
      </c>
      <c r="N41" s="29"/>
    </row>
    <row r="42" spans="1:14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30"/>
      <c r="L42" s="150"/>
      <c r="M42" s="46" t="s">
        <v>1</v>
      </c>
      <c r="N42" s="6"/>
    </row>
    <row r="43" spans="1:14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30"/>
      <c r="L43" s="150"/>
      <c r="M43" s="50" t="s">
        <v>1</v>
      </c>
      <c r="N43" s="6"/>
    </row>
    <row r="44" spans="1:14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30"/>
      <c r="L44" s="150"/>
      <c r="M44" s="42">
        <f>SUM(J44:L44)</f>
        <v>0</v>
      </c>
      <c r="N44" s="6"/>
    </row>
    <row r="45" spans="1:14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30"/>
      <c r="L45" s="150"/>
      <c r="M45" s="42">
        <f>SUM(J45:L45)</f>
        <v>0</v>
      </c>
      <c r="N45" s="6"/>
    </row>
    <row r="46" spans="1:14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33"/>
      <c r="L46" s="153"/>
      <c r="M46" s="53">
        <f>SUM(J46:L46)</f>
        <v>0</v>
      </c>
      <c r="N46" s="29"/>
    </row>
    <row r="47" spans="1:14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30"/>
      <c r="L47" s="150"/>
      <c r="M47" s="46"/>
      <c r="N47" s="6"/>
    </row>
    <row r="48" spans="1:14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31"/>
      <c r="L48" s="151"/>
      <c r="M48" s="45"/>
      <c r="N48" s="5"/>
    </row>
    <row r="49" spans="1:14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31"/>
      <c r="L49" s="151"/>
      <c r="M49" s="42">
        <f>SUM(J49:L49)</f>
        <v>0</v>
      </c>
      <c r="N49" s="5"/>
    </row>
    <row r="50" spans="1:14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31"/>
      <c r="L50" s="151"/>
      <c r="M50" s="42">
        <f>SUM(J50:L50)</f>
        <v>0</v>
      </c>
      <c r="N50" s="5"/>
    </row>
    <row r="51" spans="1:14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33"/>
      <c r="L51" s="153"/>
      <c r="M51" s="55">
        <f>SUM(J51:L51)</f>
        <v>0</v>
      </c>
      <c r="N51" s="29"/>
    </row>
    <row r="52" spans="1:14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30"/>
      <c r="L52" s="150"/>
      <c r="M52" s="42"/>
      <c r="N52" s="6"/>
    </row>
    <row r="53" spans="1:14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31"/>
      <c r="L53" s="151"/>
      <c r="M53" s="42"/>
      <c r="N53" s="5"/>
    </row>
    <row r="54" spans="1:14" ht="15.75">
      <c r="A54" s="21"/>
      <c r="B54" s="21"/>
      <c r="C54" s="13" t="s">
        <v>35</v>
      </c>
      <c r="D54" s="3"/>
      <c r="E54" s="31"/>
      <c r="F54" s="31"/>
      <c r="J54" s="42">
        <v>0</v>
      </c>
      <c r="K54" s="131"/>
      <c r="L54" s="151"/>
      <c r="M54" s="42">
        <f aca="true" t="shared" si="4" ref="M54:M65">SUM(J54:L54)</f>
        <v>0</v>
      </c>
      <c r="N54" s="5"/>
    </row>
    <row r="55" spans="1:14" ht="15.75">
      <c r="A55" s="21"/>
      <c r="B55" s="21"/>
      <c r="C55" s="13" t="s">
        <v>157</v>
      </c>
      <c r="D55" s="3"/>
      <c r="E55" s="31"/>
      <c r="F55" s="31"/>
      <c r="J55" s="42">
        <v>0</v>
      </c>
      <c r="K55" s="131"/>
      <c r="L55" s="151"/>
      <c r="M55" s="42">
        <f t="shared" si="4"/>
        <v>0</v>
      </c>
      <c r="N55" s="5"/>
    </row>
    <row r="56" spans="1:14" ht="15.75">
      <c r="A56" s="21"/>
      <c r="B56" s="21"/>
      <c r="C56" s="13" t="s">
        <v>37</v>
      </c>
      <c r="D56" s="3"/>
      <c r="E56" s="31"/>
      <c r="F56" s="31"/>
      <c r="J56" s="42">
        <v>0</v>
      </c>
      <c r="K56" s="131"/>
      <c r="L56" s="151"/>
      <c r="M56" s="42">
        <f t="shared" si="4"/>
        <v>0</v>
      </c>
      <c r="N56" s="5"/>
    </row>
    <row r="57" spans="1:14" ht="15.75">
      <c r="A57" s="21"/>
      <c r="B57" s="21"/>
      <c r="C57" s="13" t="s">
        <v>38</v>
      </c>
      <c r="D57" s="3"/>
      <c r="E57" s="31"/>
      <c r="F57" s="31"/>
      <c r="J57" s="42">
        <v>0</v>
      </c>
      <c r="K57" s="131"/>
      <c r="L57" s="151"/>
      <c r="M57" s="42">
        <f t="shared" si="4"/>
        <v>0</v>
      </c>
      <c r="N57" s="5"/>
    </row>
    <row r="58" spans="1:14" ht="15.75">
      <c r="A58" s="21"/>
      <c r="B58" s="21"/>
      <c r="C58" s="193" t="s">
        <v>102</v>
      </c>
      <c r="D58" s="3"/>
      <c r="E58" s="31"/>
      <c r="F58" s="31"/>
      <c r="J58" s="42">
        <v>0</v>
      </c>
      <c r="K58" s="131"/>
      <c r="L58" s="151"/>
      <c r="M58" s="42">
        <f t="shared" si="4"/>
        <v>0</v>
      </c>
      <c r="N58" s="5"/>
    </row>
    <row r="59" spans="1:14" ht="15.75">
      <c r="A59" s="21"/>
      <c r="B59" s="21"/>
      <c r="C59" s="13" t="s">
        <v>188</v>
      </c>
      <c r="D59" s="3"/>
      <c r="E59" s="31"/>
      <c r="F59" s="31"/>
      <c r="J59" s="42">
        <v>0</v>
      </c>
      <c r="K59" s="131"/>
      <c r="L59" s="151"/>
      <c r="M59" s="42">
        <f t="shared" si="4"/>
        <v>0</v>
      </c>
      <c r="N59" s="5"/>
    </row>
    <row r="60" spans="1:14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31"/>
      <c r="L60" s="151"/>
      <c r="M60" s="42">
        <f t="shared" si="4"/>
        <v>0</v>
      </c>
      <c r="N60" s="5"/>
    </row>
    <row r="61" spans="1:15" ht="15.75">
      <c r="A61" s="21"/>
      <c r="B61" s="21"/>
      <c r="C61" s="22" t="s">
        <v>40</v>
      </c>
      <c r="D61" s="10"/>
      <c r="E61" s="31"/>
      <c r="F61" s="31"/>
      <c r="J61" s="42">
        <v>0</v>
      </c>
      <c r="K61" s="131"/>
      <c r="L61" s="151"/>
      <c r="M61" s="42">
        <f t="shared" si="4"/>
        <v>0</v>
      </c>
      <c r="N61" s="5"/>
      <c r="O61" s="76"/>
    </row>
    <row r="62" spans="1:15" ht="15.75">
      <c r="A62" s="21"/>
      <c r="B62" s="21"/>
      <c r="C62" s="63" t="s">
        <v>41</v>
      </c>
      <c r="D62" s="10"/>
      <c r="E62" s="31"/>
      <c r="F62" s="31"/>
      <c r="J62" s="42">
        <v>0</v>
      </c>
      <c r="K62" s="131"/>
      <c r="L62" s="151"/>
      <c r="M62" s="42">
        <f t="shared" si="4"/>
        <v>0</v>
      </c>
      <c r="N62" s="5"/>
      <c r="O62" s="76"/>
    </row>
    <row r="63" spans="1:15" ht="15.75">
      <c r="A63" s="21"/>
      <c r="B63" s="21"/>
      <c r="C63" s="63" t="s">
        <v>94</v>
      </c>
      <c r="D63" s="10"/>
      <c r="E63" s="31"/>
      <c r="F63" s="31"/>
      <c r="J63" s="42">
        <v>0</v>
      </c>
      <c r="K63" s="131"/>
      <c r="L63" s="151"/>
      <c r="M63" s="42">
        <f t="shared" si="4"/>
        <v>0</v>
      </c>
      <c r="N63" s="5"/>
      <c r="O63" s="76"/>
    </row>
    <row r="64" spans="1:15" ht="15">
      <c r="A64" s="21"/>
      <c r="B64" s="21"/>
      <c r="C64" s="63" t="s">
        <v>95</v>
      </c>
      <c r="D64" s="10"/>
      <c r="E64" s="31"/>
      <c r="F64" s="31"/>
      <c r="J64" s="42">
        <v>0</v>
      </c>
      <c r="K64" s="131"/>
      <c r="L64" s="151"/>
      <c r="M64" s="42">
        <f t="shared" si="4"/>
        <v>0</v>
      </c>
      <c r="N64" s="5"/>
      <c r="O64" s="76"/>
    </row>
    <row r="65" spans="1:15" ht="1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34"/>
      <c r="L65" s="154"/>
      <c r="M65" s="43">
        <f t="shared" si="4"/>
        <v>0</v>
      </c>
      <c r="N65" s="34"/>
      <c r="O65" s="76"/>
    </row>
    <row r="66" spans="1:14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30"/>
      <c r="L66" s="150"/>
      <c r="M66" s="46" t="s">
        <v>1</v>
      </c>
      <c r="N66" s="6"/>
    </row>
    <row r="67" spans="1:14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35"/>
      <c r="L67" s="155"/>
      <c r="M67" s="65">
        <f>SUM(J67:L67)</f>
        <v>0</v>
      </c>
      <c r="N67" s="34"/>
    </row>
    <row r="68" spans="1:13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35"/>
      <c r="L68" s="155"/>
      <c r="M68" s="65"/>
    </row>
    <row r="69" spans="1:15" ht="15">
      <c r="A69" s="28"/>
      <c r="B69" s="28"/>
      <c r="C69" s="28"/>
      <c r="D69" s="21"/>
      <c r="G69" s="39"/>
      <c r="H69" s="86" t="s">
        <v>117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36"/>
      <c r="L69" s="156"/>
      <c r="M69" s="74">
        <f>SUM(J69:L69)</f>
        <v>0</v>
      </c>
      <c r="O69" s="76"/>
    </row>
    <row r="70" spans="1:16" ht="15">
      <c r="A70" s="33" t="s">
        <v>116</v>
      </c>
      <c r="B70" s="1"/>
      <c r="C70" s="1"/>
      <c r="J70" s="42"/>
      <c r="K70" s="137"/>
      <c r="L70" s="157"/>
      <c r="M70" s="50"/>
      <c r="N70" s="5"/>
      <c r="P70" s="75"/>
    </row>
    <row r="71" spans="1:14" ht="15">
      <c r="A71" s="13" t="s">
        <v>119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0.6175</v>
      </c>
      <c r="E71" s="7"/>
      <c r="F71" s="7"/>
      <c r="G71" s="7"/>
      <c r="H71" s="7"/>
      <c r="J71" s="50">
        <f>ROUND(+D71*(J67-J46-J61-J62-J63-J64-J58-J59),0)</f>
        <v>0</v>
      </c>
      <c r="K71" s="131"/>
      <c r="L71" s="151"/>
      <c r="M71" s="50">
        <f aca="true" t="shared" si="5" ref="M71:M76">SUM(J71:L71)</f>
        <v>0</v>
      </c>
      <c r="N71" s="5"/>
    </row>
    <row r="72" spans="1:14" ht="15">
      <c r="A72" s="13" t="s">
        <v>44</v>
      </c>
      <c r="D72" s="7">
        <f>+D71</f>
        <v>0.6175</v>
      </c>
      <c r="E72" s="7"/>
      <c r="F72" s="7"/>
      <c r="G72" s="7"/>
      <c r="H72" s="7"/>
      <c r="J72" s="50">
        <f>(IF((J61)&gt;25000,(25000),J61)*D72)</f>
        <v>0</v>
      </c>
      <c r="K72" s="131"/>
      <c r="L72" s="151"/>
      <c r="M72" s="50">
        <f t="shared" si="5"/>
        <v>0</v>
      </c>
      <c r="N72" s="5"/>
    </row>
    <row r="73" spans="1:14" ht="15">
      <c r="A73" s="13" t="s">
        <v>45</v>
      </c>
      <c r="D73" s="7">
        <f>+D72</f>
        <v>0.6175</v>
      </c>
      <c r="E73" s="7"/>
      <c r="F73" s="7"/>
      <c r="G73" s="7"/>
      <c r="H73" s="7"/>
      <c r="J73" s="50">
        <f>(IF((J62)&gt;25000,(25000),J62)*D73)</f>
        <v>0</v>
      </c>
      <c r="K73" s="131"/>
      <c r="L73" s="151"/>
      <c r="M73" s="50">
        <f t="shared" si="5"/>
        <v>0</v>
      </c>
      <c r="N73" s="5"/>
    </row>
    <row r="74" spans="1:14" ht="15">
      <c r="A74" s="13" t="s">
        <v>92</v>
      </c>
      <c r="D74" s="7">
        <f>+D73</f>
        <v>0.6175</v>
      </c>
      <c r="E74" s="7"/>
      <c r="F74" s="7"/>
      <c r="G74" s="7"/>
      <c r="H74" s="7"/>
      <c r="J74" s="50">
        <f>(IF((J63)&gt;25000,(25000),J63)*D74)</f>
        <v>0</v>
      </c>
      <c r="K74" s="131"/>
      <c r="L74" s="151"/>
      <c r="M74" s="50">
        <f t="shared" si="5"/>
        <v>0</v>
      </c>
      <c r="N74" s="5"/>
    </row>
    <row r="75" spans="1:14" ht="15">
      <c r="A75" s="13" t="s">
        <v>93</v>
      </c>
      <c r="B75" s="1"/>
      <c r="C75" s="1"/>
      <c r="D75" s="7">
        <f>+D72</f>
        <v>0.6175</v>
      </c>
      <c r="E75" s="7"/>
      <c r="F75" s="7"/>
      <c r="G75" s="7"/>
      <c r="H75" s="7"/>
      <c r="J75" s="50">
        <f>(IF((J64)&gt;25000,(25000),J64)*D75)</f>
        <v>0</v>
      </c>
      <c r="K75" s="131"/>
      <c r="L75" s="151"/>
      <c r="M75" s="50">
        <f t="shared" si="5"/>
        <v>0</v>
      </c>
      <c r="N75" s="5"/>
    </row>
    <row r="76" spans="1:14" ht="15">
      <c r="A76" s="40" t="s">
        <v>118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34"/>
      <c r="L76" s="154"/>
      <c r="M76" s="53">
        <f t="shared" si="5"/>
        <v>0</v>
      </c>
      <c r="N76" s="5"/>
    </row>
    <row r="77" spans="1:14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34"/>
      <c r="L77" s="154"/>
      <c r="M77" s="62"/>
      <c r="N77" s="5"/>
    </row>
    <row r="78" spans="1:14" ht="18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35"/>
      <c r="L78" s="155"/>
      <c r="M78" s="72">
        <f>SUM(J78:L78)</f>
        <v>0</v>
      </c>
      <c r="N78" s="5"/>
    </row>
    <row r="79" spans="1:14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31"/>
      <c r="L79" s="151"/>
      <c r="M79" s="50" t="s">
        <v>1</v>
      </c>
      <c r="N79" s="5"/>
    </row>
    <row r="80" spans="1:14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38"/>
      <c r="L80" s="158"/>
      <c r="M80" s="58"/>
      <c r="N80" s="1"/>
    </row>
    <row r="81" ht="15">
      <c r="C81" s="36" t="s">
        <v>120</v>
      </c>
    </row>
    <row r="82" spans="3:7" ht="15">
      <c r="C82" s="14" t="s">
        <v>47</v>
      </c>
      <c r="E82" s="15" t="s">
        <v>48</v>
      </c>
      <c r="G82" s="14" t="s">
        <v>49</v>
      </c>
    </row>
    <row r="83" spans="3:6" ht="15">
      <c r="C83" s="14" t="s">
        <v>145</v>
      </c>
      <c r="E83" s="9">
        <v>0.1</v>
      </c>
      <c r="F83" s="9"/>
    </row>
    <row r="84" spans="3:7" ht="15">
      <c r="C84" s="14" t="s">
        <v>50</v>
      </c>
      <c r="E84" s="146" t="s">
        <v>51</v>
      </c>
      <c r="G84" s="14" t="s">
        <v>52</v>
      </c>
    </row>
    <row r="86" spans="4:10" ht="15">
      <c r="D86" s="190" t="s">
        <v>166</v>
      </c>
      <c r="H86" s="188">
        <f>+'RATES-Non Fed'!E31</f>
        <v>0.605</v>
      </c>
      <c r="J86" s="187">
        <f>J76/12*'RATES-Non Fed'!$C$46</f>
        <v>0</v>
      </c>
    </row>
    <row r="87" spans="4:10" ht="15">
      <c r="D87" s="255" t="s">
        <v>167</v>
      </c>
      <c r="E87" s="255"/>
      <c r="F87" s="255"/>
      <c r="G87" s="255"/>
      <c r="H87" s="188">
        <f>+'RATES-Non Fed'!G31</f>
        <v>0.62</v>
      </c>
      <c r="J87" s="187">
        <f>J76/12*'RATES-Non Fed'!$D$46</f>
        <v>0</v>
      </c>
    </row>
    <row r="88" spans="4:16" ht="17.25">
      <c r="D88" s="255"/>
      <c r="E88" s="255"/>
      <c r="F88" s="255"/>
      <c r="G88" s="255"/>
      <c r="J88" s="187">
        <f>SUM(J86:J87)</f>
        <v>0</v>
      </c>
      <c r="M88" s="254"/>
      <c r="N88" s="254"/>
      <c r="O88" s="254"/>
      <c r="P88" s="174"/>
    </row>
  </sheetData>
  <sheetProtection/>
  <mergeCells count="4">
    <mergeCell ref="J8:L8"/>
    <mergeCell ref="K4:O5"/>
    <mergeCell ref="M88:O88"/>
    <mergeCell ref="D87:G88"/>
  </mergeCells>
  <dataValidations count="1">
    <dataValidation type="list" allowBlank="1" showInputMessage="1" showErrorMessage="1" sqref="D11 D13 D20:D23 D15:D17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portrait" scale="54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showGridLines="0" zoomScale="75" zoomScaleNormal="75" workbookViewId="0" topLeftCell="A1">
      <selection activeCell="F34" sqref="F34:F3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39" bestFit="1" customWidth="1"/>
    <col min="12" max="12" width="10.125" style="159" bestFit="1" customWidth="1"/>
    <col min="13" max="13" width="11.25390625" style="0" customWidth="1"/>
    <col min="14" max="14" width="9.25390625" style="139" bestFit="1" customWidth="1"/>
    <col min="15" max="15" width="9.50390625" style="84" bestFit="1" customWidth="1"/>
    <col min="16" max="16" width="14.625" style="0" customWidth="1"/>
    <col min="17" max="17" width="2.625" style="0" customWidth="1"/>
  </cols>
  <sheetData>
    <row r="1" spans="1:1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25"/>
      <c r="L1" s="147"/>
      <c r="M1" s="37"/>
      <c r="N1" s="140"/>
    </row>
    <row r="2" spans="1:16" ht="18.75">
      <c r="A2" s="17" t="s">
        <v>155</v>
      </c>
      <c r="B2" s="18"/>
      <c r="C2" s="18"/>
      <c r="D2" s="18"/>
      <c r="E2" s="18"/>
      <c r="F2" s="18"/>
      <c r="G2" s="18"/>
      <c r="H2" s="18"/>
      <c r="I2" s="18"/>
      <c r="J2" s="19"/>
      <c r="K2" s="125"/>
      <c r="L2" s="147"/>
      <c r="M2" s="37"/>
      <c r="N2" s="140"/>
      <c r="O2" s="169"/>
      <c r="P2" s="37"/>
    </row>
    <row r="3" spans="1:16" ht="9.75" customHeight="1">
      <c r="A3" s="10" t="s">
        <v>1</v>
      </c>
      <c r="B3" s="1"/>
      <c r="J3" s="11" t="s">
        <v>1</v>
      </c>
      <c r="K3" s="126"/>
      <c r="L3" s="148"/>
      <c r="M3" s="8"/>
      <c r="P3" s="8"/>
    </row>
    <row r="4" spans="1:16" ht="15.75">
      <c r="A4" s="22" t="s">
        <v>2</v>
      </c>
      <c r="B4" s="1"/>
      <c r="D4" s="10" t="s">
        <v>70</v>
      </c>
      <c r="G4" s="3"/>
      <c r="J4" s="20" t="s">
        <v>3</v>
      </c>
      <c r="K4" s="256" t="s">
        <v>70</v>
      </c>
      <c r="L4" s="257"/>
      <c r="M4" s="258"/>
      <c r="N4" s="258"/>
      <c r="O4" s="259"/>
      <c r="P4" s="8"/>
    </row>
    <row r="5" spans="1:16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60"/>
      <c r="L5" s="261"/>
      <c r="M5" s="261"/>
      <c r="N5" s="261"/>
      <c r="O5" s="262"/>
      <c r="P5" s="8"/>
    </row>
    <row r="6" spans="1:16" ht="15.75">
      <c r="A6" s="14"/>
      <c r="B6" s="22" t="s">
        <v>5</v>
      </c>
      <c r="D6" s="73">
        <f>'RATES-Non Fed'!E2</f>
        <v>44317</v>
      </c>
      <c r="E6" s="12" t="s">
        <v>6</v>
      </c>
      <c r="F6" s="12"/>
      <c r="G6" s="73">
        <f>'RATES-Non Fed'!G2</f>
        <v>46142</v>
      </c>
      <c r="H6" s="4"/>
      <c r="I6" s="4"/>
      <c r="J6" s="2"/>
      <c r="K6" s="127"/>
      <c r="L6" s="149"/>
      <c r="M6" s="3"/>
      <c r="N6" s="127"/>
      <c r="O6" s="123"/>
      <c r="P6" s="8"/>
    </row>
    <row r="7" spans="5:17" ht="7.5" customHeight="1">
      <c r="E7" s="3"/>
      <c r="F7" s="3"/>
      <c r="G7" s="1"/>
      <c r="H7" s="1"/>
      <c r="I7" s="1"/>
      <c r="J7" s="16" t="s">
        <v>1</v>
      </c>
      <c r="K7" s="126"/>
      <c r="L7" s="148"/>
      <c r="M7" s="8"/>
      <c r="N7" s="126"/>
      <c r="O7" s="117"/>
      <c r="P7" s="8"/>
      <c r="Q7" s="1"/>
    </row>
    <row r="8" spans="1:17" ht="15.75">
      <c r="A8" s="21"/>
      <c r="B8" s="21"/>
      <c r="C8" s="119" t="s">
        <v>10</v>
      </c>
      <c r="D8" s="21"/>
      <c r="E8" s="21"/>
      <c r="F8" s="21"/>
      <c r="G8" s="21"/>
      <c r="H8" s="21"/>
      <c r="I8" s="21"/>
      <c r="J8" s="245" t="s">
        <v>21</v>
      </c>
      <c r="K8" s="246"/>
      <c r="L8" s="247"/>
      <c r="M8" s="263" t="s">
        <v>54</v>
      </c>
      <c r="N8" s="264"/>
      <c r="O8" s="265"/>
      <c r="P8" s="145" t="s">
        <v>8</v>
      </c>
      <c r="Q8" s="21"/>
    </row>
    <row r="9" spans="1:19" s="121" customFormat="1" ht="15.75">
      <c r="A9" s="119" t="s">
        <v>9</v>
      </c>
      <c r="C9" s="119"/>
      <c r="D9" s="119"/>
      <c r="E9" s="119"/>
      <c r="F9" s="119"/>
      <c r="G9" s="119"/>
      <c r="H9" s="119"/>
      <c r="I9" s="119"/>
      <c r="J9" s="163" t="s">
        <v>149</v>
      </c>
      <c r="K9" s="128" t="s">
        <v>150</v>
      </c>
      <c r="L9" s="119" t="s">
        <v>151</v>
      </c>
      <c r="M9" s="168" t="s">
        <v>149</v>
      </c>
      <c r="N9" s="128" t="s">
        <v>150</v>
      </c>
      <c r="O9" s="119" t="s">
        <v>151</v>
      </c>
      <c r="P9" s="120"/>
      <c r="Q9" s="119"/>
      <c r="S9"/>
    </row>
    <row r="10" spans="1:17" ht="15.75">
      <c r="A10" s="1"/>
      <c r="B10" s="23" t="s">
        <v>11</v>
      </c>
      <c r="C10" s="24"/>
      <c r="D10" s="24" t="s">
        <v>101</v>
      </c>
      <c r="E10" s="1" t="s">
        <v>12</v>
      </c>
      <c r="F10" s="41" t="s">
        <v>123</v>
      </c>
      <c r="G10" s="41" t="s">
        <v>13</v>
      </c>
      <c r="H10" s="1"/>
      <c r="I10" s="1"/>
      <c r="J10" s="164"/>
      <c r="K10" s="126"/>
      <c r="L10" s="117"/>
      <c r="M10" s="164"/>
      <c r="N10" s="126"/>
      <c r="O10" s="117"/>
      <c r="P10" s="2">
        <f>IF(SUM(J10:N10)=0,"",SUM(J10:N10))</f>
      </c>
      <c r="Q10" s="1"/>
    </row>
    <row r="11" spans="1:19" ht="15.75">
      <c r="A11" s="1"/>
      <c r="B11" s="1" t="s">
        <v>14</v>
      </c>
      <c r="C11" s="10" t="str">
        <f>D5</f>
        <v>name</v>
      </c>
      <c r="D11" s="115" t="s">
        <v>125</v>
      </c>
      <c r="E11" s="70">
        <v>0</v>
      </c>
      <c r="F11" s="89">
        <f>IF(D11="CAL",(52*E11/4.3333),(IF(D11="ACAD",(36.35*E11/4.33333),IF(D11="SUMR",(15.65*E11/4.33333),IF(D11="PT",(0),0)))))</f>
        <v>0</v>
      </c>
      <c r="G11" s="69">
        <v>0</v>
      </c>
      <c r="J11" s="161">
        <f>ROUND(G11*E11,0)</f>
        <v>0</v>
      </c>
      <c r="K11" s="129">
        <f>ROUND(J11*'RATES-Non Fed'!E38,0)</f>
        <v>0</v>
      </c>
      <c r="L11" s="67">
        <f>ROUND(K11+J11,0)</f>
        <v>0</v>
      </c>
      <c r="M11" s="161">
        <f>ROUND((J11*1.025),0)</f>
        <v>0</v>
      </c>
      <c r="N11" s="129">
        <f>ROUND(M11*'RATES-Non Fed'!G38,0)</f>
        <v>0</v>
      </c>
      <c r="O11" s="67">
        <f aca="true" t="shared" si="0" ref="O11:O18">ROUND(M11+N11,0)</f>
        <v>0</v>
      </c>
      <c r="P11" s="42">
        <f>SUM(L11+O11)</f>
        <v>0</v>
      </c>
      <c r="Q11" s="1"/>
      <c r="S11" s="185"/>
    </row>
    <row r="12" spans="1:17" ht="15.75">
      <c r="A12" s="1"/>
      <c r="B12" s="1" t="s">
        <v>14</v>
      </c>
      <c r="C12" s="3"/>
      <c r="D12" s="115" t="str">
        <f>IF(D11="ACAD",("SUMR"),"")</f>
        <v>SUMR</v>
      </c>
      <c r="E12" s="70">
        <v>0</v>
      </c>
      <c r="F12" s="89">
        <f aca="true" t="shared" si="1" ref="F12:F17">IF(D12="CAL",(52*E12/4.3333),(IF(D12="ACAD",(36.35*E12/4.33333),IF(D12="SUMR",(15.65*E12/4.33333),IF(D12="PT",(0),0)))))</f>
        <v>0</v>
      </c>
      <c r="G12" s="69">
        <f>+G11*0.4375</f>
        <v>0</v>
      </c>
      <c r="J12" s="161">
        <f aca="true" t="shared" si="2" ref="J12:J18">ROUND(G12*E12,0)</f>
        <v>0</v>
      </c>
      <c r="K12" s="129">
        <f>ROUND(J12*'RATES-Non Fed'!E38,0)</f>
        <v>0</v>
      </c>
      <c r="L12" s="67">
        <f aca="true" t="shared" si="3" ref="L12:L18">ROUND(K12+J12,0)</f>
        <v>0</v>
      </c>
      <c r="M12" s="161">
        <f aca="true" t="shared" si="4" ref="M12:M18">ROUND((J12*1.025),0)</f>
        <v>0</v>
      </c>
      <c r="N12" s="129">
        <f>ROUND(M12*'RATES-Non Fed'!G38,0)</f>
        <v>0</v>
      </c>
      <c r="O12" s="67">
        <f t="shared" si="0"/>
        <v>0</v>
      </c>
      <c r="P12" s="42">
        <f aca="true" t="shared" si="5" ref="P12:P18">SUM(L12+O12)</f>
        <v>0</v>
      </c>
      <c r="Q12" s="1"/>
    </row>
    <row r="13" spans="1:17" ht="15.75">
      <c r="A13" s="1"/>
      <c r="B13" s="1" t="s">
        <v>15</v>
      </c>
      <c r="C13" s="3"/>
      <c r="D13" s="115" t="s">
        <v>125</v>
      </c>
      <c r="E13" s="70">
        <v>0</v>
      </c>
      <c r="F13" s="89">
        <f t="shared" si="1"/>
        <v>0</v>
      </c>
      <c r="G13" s="69">
        <v>0</v>
      </c>
      <c r="J13" s="161">
        <f t="shared" si="2"/>
        <v>0</v>
      </c>
      <c r="K13" s="129">
        <f>ROUND(J13*'RATES-Non Fed'!E38,0)</f>
        <v>0</v>
      </c>
      <c r="L13" s="67">
        <f t="shared" si="3"/>
        <v>0</v>
      </c>
      <c r="M13" s="161">
        <f t="shared" si="4"/>
        <v>0</v>
      </c>
      <c r="N13" s="129">
        <f>ROUND(M13*'RATES-Non Fed'!G38,0)</f>
        <v>0</v>
      </c>
      <c r="O13" s="67">
        <f t="shared" si="0"/>
        <v>0</v>
      </c>
      <c r="P13" s="42">
        <f t="shared" si="5"/>
        <v>0</v>
      </c>
      <c r="Q13" s="1"/>
    </row>
    <row r="14" spans="1:16" ht="15.75">
      <c r="A14" s="1"/>
      <c r="B14" s="1"/>
      <c r="C14" s="3"/>
      <c r="D14" s="115" t="str">
        <f>IF(D13="ACAD",("SUMR"),"")</f>
        <v>SUMR</v>
      </c>
      <c r="E14" s="70">
        <v>0</v>
      </c>
      <c r="F14" s="89">
        <f t="shared" si="1"/>
        <v>0</v>
      </c>
      <c r="G14" s="69">
        <f>+G13*0.4375</f>
        <v>0</v>
      </c>
      <c r="J14" s="161">
        <f t="shared" si="2"/>
        <v>0</v>
      </c>
      <c r="K14" s="129">
        <f>ROUND(J14*'RATES-Non Fed'!E38,0)</f>
        <v>0</v>
      </c>
      <c r="L14" s="67">
        <f t="shared" si="3"/>
        <v>0</v>
      </c>
      <c r="M14" s="161">
        <f t="shared" si="4"/>
        <v>0</v>
      </c>
      <c r="N14" s="129">
        <f>ROUND(M14*'RATES-Non Fed'!G38,0)</f>
        <v>0</v>
      </c>
      <c r="O14" s="67">
        <f t="shared" si="0"/>
        <v>0</v>
      </c>
      <c r="P14" s="42">
        <f t="shared" si="5"/>
        <v>0</v>
      </c>
    </row>
    <row r="15" spans="1:17" ht="15.75">
      <c r="A15" s="1"/>
      <c r="B15" s="1" t="s">
        <v>15</v>
      </c>
      <c r="C15" s="3"/>
      <c r="D15" s="115" t="s">
        <v>125</v>
      </c>
      <c r="E15" s="70">
        <v>0</v>
      </c>
      <c r="F15" s="89">
        <f t="shared" si="1"/>
        <v>0</v>
      </c>
      <c r="G15" s="69">
        <v>0</v>
      </c>
      <c r="J15" s="161">
        <f t="shared" si="2"/>
        <v>0</v>
      </c>
      <c r="K15" s="129">
        <f>ROUND(J15*'RATES-Non Fed'!E38,0)</f>
        <v>0</v>
      </c>
      <c r="L15" s="67">
        <f t="shared" si="3"/>
        <v>0</v>
      </c>
      <c r="M15" s="161">
        <f t="shared" si="4"/>
        <v>0</v>
      </c>
      <c r="N15" s="129">
        <f>ROUND(M15*'RATES-Non Fed'!G38,0)</f>
        <v>0</v>
      </c>
      <c r="O15" s="67">
        <f t="shared" si="0"/>
        <v>0</v>
      </c>
      <c r="P15" s="42">
        <f t="shared" si="5"/>
        <v>0</v>
      </c>
      <c r="Q15" s="1"/>
    </row>
    <row r="16" spans="1:16" ht="15.75">
      <c r="A16" s="1"/>
      <c r="B16" s="1"/>
      <c r="C16" s="3"/>
      <c r="D16" s="115" t="str">
        <f>IF(D15="ACAD",("SUMR"),"")</f>
        <v>SUMR</v>
      </c>
      <c r="E16" s="70">
        <v>0</v>
      </c>
      <c r="F16" s="89">
        <f t="shared" si="1"/>
        <v>0</v>
      </c>
      <c r="G16" s="69">
        <f>+G15*0.4375</f>
        <v>0</v>
      </c>
      <c r="J16" s="161">
        <f t="shared" si="2"/>
        <v>0</v>
      </c>
      <c r="K16" s="129">
        <f>ROUND(J16*'RATES-Non Fed'!E38,0)</f>
        <v>0</v>
      </c>
      <c r="L16" s="67">
        <f t="shared" si="3"/>
        <v>0</v>
      </c>
      <c r="M16" s="161">
        <f t="shared" si="4"/>
        <v>0</v>
      </c>
      <c r="N16" s="129">
        <f>ROUND(M16*'RATES-Non Fed'!G38,0)</f>
        <v>0</v>
      </c>
      <c r="O16" s="67">
        <f t="shared" si="0"/>
        <v>0</v>
      </c>
      <c r="P16" s="42">
        <f t="shared" si="5"/>
        <v>0</v>
      </c>
    </row>
    <row r="17" spans="1:17" ht="15.75">
      <c r="A17" s="1"/>
      <c r="B17" s="1" t="s">
        <v>15</v>
      </c>
      <c r="C17" s="3"/>
      <c r="D17" s="115" t="s">
        <v>124</v>
      </c>
      <c r="E17" s="70">
        <v>0</v>
      </c>
      <c r="F17" s="89">
        <f t="shared" si="1"/>
        <v>0</v>
      </c>
      <c r="G17" s="69">
        <v>0</v>
      </c>
      <c r="J17" s="161">
        <f t="shared" si="2"/>
        <v>0</v>
      </c>
      <c r="K17" s="129">
        <f>ROUND(J17*'RATES-Non Fed'!E38,0)</f>
        <v>0</v>
      </c>
      <c r="L17" s="67">
        <f t="shared" si="3"/>
        <v>0</v>
      </c>
      <c r="M17" s="161">
        <f t="shared" si="4"/>
        <v>0</v>
      </c>
      <c r="N17" s="129">
        <f>ROUND(M17*'RATES-Non Fed'!G38,0)</f>
        <v>0</v>
      </c>
      <c r="O17" s="67">
        <f t="shared" si="0"/>
        <v>0</v>
      </c>
      <c r="P17" s="42">
        <f t="shared" si="5"/>
        <v>0</v>
      </c>
      <c r="Q17" s="1"/>
    </row>
    <row r="18" spans="1:16" ht="15.75">
      <c r="A18" s="1"/>
      <c r="B18" s="1" t="s">
        <v>15</v>
      </c>
      <c r="C18" s="3"/>
      <c r="D18" s="115" t="s">
        <v>124</v>
      </c>
      <c r="E18" s="70">
        <v>0</v>
      </c>
      <c r="F18" s="89">
        <f>IF(D18="CAL",(52*E18/4.3333),(IF(D18="ACAD",(36.35*E18/4.33333),IF(D18="SUMR",(15.65*E18/4.33333),IF(D18="PT",(0),0)))))</f>
        <v>0</v>
      </c>
      <c r="G18" s="69">
        <v>0</v>
      </c>
      <c r="J18" s="176">
        <f t="shared" si="2"/>
        <v>0</v>
      </c>
      <c r="K18" s="181">
        <f>ROUND(J18*'RATES-Non Fed'!E38,0)</f>
        <v>0</v>
      </c>
      <c r="L18" s="182">
        <f t="shared" si="3"/>
        <v>0</v>
      </c>
      <c r="M18" s="161">
        <f t="shared" si="4"/>
        <v>0</v>
      </c>
      <c r="N18" s="181">
        <f>ROUND(M18*'RATES-Non Fed'!G38,0)</f>
        <v>0</v>
      </c>
      <c r="O18" s="182">
        <f t="shared" si="0"/>
        <v>0</v>
      </c>
      <c r="P18" s="179">
        <f t="shared" si="5"/>
        <v>0</v>
      </c>
    </row>
    <row r="19" spans="1:17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80">
        <f aca="true" t="shared" si="6" ref="J19:P19">SUM(J11:J18)</f>
        <v>0</v>
      </c>
      <c r="K19" s="130">
        <f t="shared" si="6"/>
        <v>0</v>
      </c>
      <c r="L19" s="46">
        <f t="shared" si="6"/>
        <v>0</v>
      </c>
      <c r="M19" s="180">
        <f t="shared" si="6"/>
        <v>0</v>
      </c>
      <c r="N19" s="130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5" ht="15.75">
      <c r="A20" s="21" t="s">
        <v>180</v>
      </c>
      <c r="B20" s="21" t="s">
        <v>181</v>
      </c>
      <c r="C20" s="1"/>
      <c r="D20" s="25"/>
      <c r="E20" s="26"/>
      <c r="F20" s="26"/>
      <c r="G20" s="1"/>
      <c r="H20" s="1"/>
      <c r="I20" s="1"/>
      <c r="J20" s="180"/>
      <c r="K20" s="130"/>
      <c r="L20" s="46"/>
      <c r="M20" s="42"/>
      <c r="N20" s="6"/>
      <c r="O20"/>
    </row>
    <row r="21" spans="1:16" ht="15.75">
      <c r="A21" s="1"/>
      <c r="B21" s="1" t="s">
        <v>15</v>
      </c>
      <c r="C21" s="3"/>
      <c r="D21" s="115" t="s">
        <v>124</v>
      </c>
      <c r="E21" s="70">
        <v>0</v>
      </c>
      <c r="F21" s="89">
        <f>IF(D21="CAL",(52*E21/4.3333),(IF(D21="ACAD",(32*E21/4.33333),IF(D21="SUMR",(14*E21/4.33333),IF(D21="PT",(0),0)))))</f>
        <v>0</v>
      </c>
      <c r="G21" s="69">
        <v>0</v>
      </c>
      <c r="J21" s="161">
        <f>ROUND(G21*E21,0)</f>
        <v>0</v>
      </c>
      <c r="K21" s="129">
        <f>ROUND(J21*'RATES-Non Fed'!E40,0)</f>
        <v>0</v>
      </c>
      <c r="L21" s="67">
        <f>ROUND(K21+J21,0)</f>
        <v>0</v>
      </c>
      <c r="M21" s="161">
        <f>ROUND((J21*1.02),0)</f>
        <v>0</v>
      </c>
      <c r="N21" s="129">
        <f>ROUND(M21*'RATES-Non Fed'!G40,0)</f>
        <v>0</v>
      </c>
      <c r="O21" s="67">
        <f>ROUND(M21+N21,0)</f>
        <v>0</v>
      </c>
      <c r="P21" s="42">
        <f>SUM(J21:O21)</f>
        <v>0</v>
      </c>
    </row>
    <row r="22" spans="1:16" ht="15.75">
      <c r="A22" s="1"/>
      <c r="B22" s="1" t="s">
        <v>15</v>
      </c>
      <c r="C22" s="3"/>
      <c r="D22" s="115" t="s">
        <v>124</v>
      </c>
      <c r="E22" s="70">
        <v>0</v>
      </c>
      <c r="F22" s="89">
        <f>IF(D22="CAL",(52*E22/4.3333),(IF(D22="ACAD",(32*E22/4.33333),IF(D22="SUMR",(14*E22/4.33333),IF(D22="PT",(0),0)))))</f>
        <v>0</v>
      </c>
      <c r="G22" s="69">
        <v>0</v>
      </c>
      <c r="J22" s="161">
        <f>ROUND(G22*E22,0)</f>
        <v>0</v>
      </c>
      <c r="K22" s="129">
        <f>ROUND(J22*'RATES-Non Fed'!E40,0)</f>
        <v>0</v>
      </c>
      <c r="L22" s="67">
        <f>ROUND(K22+J22,0)</f>
        <v>0</v>
      </c>
      <c r="M22" s="161">
        <f>ROUND((J22*1.02),0)</f>
        <v>0</v>
      </c>
      <c r="N22" s="129">
        <f>ROUND(M22*'RATES-Non Fed'!G40,0)</f>
        <v>0</v>
      </c>
      <c r="O22" s="67">
        <f>ROUND(M22+N22,0)</f>
        <v>0</v>
      </c>
      <c r="P22" s="42">
        <f>SUM(J22:O22)</f>
        <v>0</v>
      </c>
    </row>
    <row r="23" spans="1:16" ht="15.75">
      <c r="A23" s="1"/>
      <c r="B23" s="1" t="s">
        <v>15</v>
      </c>
      <c r="C23" s="3"/>
      <c r="D23" s="115" t="s">
        <v>124</v>
      </c>
      <c r="E23" s="70">
        <v>0</v>
      </c>
      <c r="F23" s="89">
        <f>IF(D23="CAL",(52*E23/4.3333),(IF(D23="ACAD",(32*E23/4.33333),IF(D23="SUMR",(14*E23/4.33333),IF(D23="PT",(0),0)))))</f>
        <v>0</v>
      </c>
      <c r="G23" s="69">
        <v>0</v>
      </c>
      <c r="J23" s="161">
        <f>ROUND(G23*E23,0)</f>
        <v>0</v>
      </c>
      <c r="K23" s="129">
        <f>ROUND(J23*'RATES-Non Fed'!E40,0)</f>
        <v>0</v>
      </c>
      <c r="L23" s="67">
        <f>ROUND(K23+J23,0)</f>
        <v>0</v>
      </c>
      <c r="M23" s="161">
        <f>ROUND((J23*1.02),0)</f>
        <v>0</v>
      </c>
      <c r="N23" s="129">
        <f>ROUND(M23*'RATES-Non Fed'!G40,0)</f>
        <v>0</v>
      </c>
      <c r="O23" s="67">
        <f>ROUND(M23+N23,0)</f>
        <v>0</v>
      </c>
      <c r="P23" s="42">
        <f>SUM(J23:O23)</f>
        <v>0</v>
      </c>
    </row>
    <row r="24" spans="1:16" ht="15.75">
      <c r="A24" s="1"/>
      <c r="B24" s="1" t="s">
        <v>15</v>
      </c>
      <c r="C24" s="3"/>
      <c r="D24" s="115" t="s">
        <v>124</v>
      </c>
      <c r="E24" s="70">
        <v>0</v>
      </c>
      <c r="F24" s="89">
        <f>IF(D24="CAL",(52*E24/4.3333),(IF(D24="ACAD",(32*E24/4.33333),IF(D24="SUMR",(14*E24/4.33333),IF(D24="PT",(0),0)))))</f>
        <v>0</v>
      </c>
      <c r="G24" s="69">
        <v>0</v>
      </c>
      <c r="J24" s="161">
        <f>ROUND(G24*E24,0)</f>
        <v>0</v>
      </c>
      <c r="K24" s="181">
        <f>ROUND(J24*'RATES-Non Fed'!E40,0)</f>
        <v>0</v>
      </c>
      <c r="L24" s="182">
        <f>ROUND(K24+J24,0)</f>
        <v>0</v>
      </c>
      <c r="M24" s="176">
        <f>ROUND((J24*1.02),0)</f>
        <v>0</v>
      </c>
      <c r="N24" s="181">
        <f>ROUND(M24*'RATES-Non Fed'!G40,0)</f>
        <v>0</v>
      </c>
      <c r="O24" s="182">
        <f>ROUND(M24+N24,0)</f>
        <v>0</v>
      </c>
      <c r="P24" s="179">
        <f>SUM(J24:O24)</f>
        <v>0</v>
      </c>
    </row>
    <row r="25" spans="1:16" ht="15.75">
      <c r="A25" s="1"/>
      <c r="B25" s="1"/>
      <c r="C25" s="1"/>
      <c r="D25" s="25" t="s">
        <v>185</v>
      </c>
      <c r="E25" s="26"/>
      <c r="F25" s="26"/>
      <c r="G25" s="1"/>
      <c r="H25" s="1"/>
      <c r="I25" s="1"/>
      <c r="J25" s="165">
        <f aca="true" t="shared" si="7" ref="J25:O25">SUM(J21:J24)</f>
        <v>0</v>
      </c>
      <c r="K25" s="130">
        <f t="shared" si="7"/>
        <v>0</v>
      </c>
      <c r="L25" s="46">
        <f t="shared" si="7"/>
        <v>0</v>
      </c>
      <c r="M25" s="76">
        <f t="shared" si="7"/>
        <v>0</v>
      </c>
      <c r="N25" s="6">
        <f t="shared" si="7"/>
        <v>0</v>
      </c>
      <c r="O25" s="76">
        <f t="shared" si="7"/>
        <v>0</v>
      </c>
      <c r="P25" s="42">
        <f>SUM(J25:O25)</f>
        <v>0</v>
      </c>
    </row>
    <row r="26" spans="1:17" ht="7.5" customHeight="1">
      <c r="A26" s="1"/>
      <c r="B26" s="1"/>
      <c r="C26" s="1"/>
      <c r="D26" s="26"/>
      <c r="E26" s="26"/>
      <c r="F26" s="26"/>
      <c r="G26" s="1"/>
      <c r="H26" s="1"/>
      <c r="I26" s="1"/>
      <c r="J26" s="166"/>
      <c r="K26" s="130"/>
      <c r="L26" s="46"/>
      <c r="M26" s="160"/>
      <c r="N26" s="130"/>
      <c r="O26" s="46"/>
      <c r="P26" s="42"/>
      <c r="Q26" s="6"/>
    </row>
    <row r="27" spans="1:17" ht="15.75">
      <c r="A27" s="22" t="s">
        <v>182</v>
      </c>
      <c r="B27" s="22" t="s">
        <v>17</v>
      </c>
      <c r="C27" s="1"/>
      <c r="D27" s="26"/>
      <c r="E27" s="1"/>
      <c r="F27" s="1"/>
      <c r="G27" s="41"/>
      <c r="H27" s="1"/>
      <c r="I27" s="1"/>
      <c r="J27" s="164"/>
      <c r="K27" s="126"/>
      <c r="L27" s="117"/>
      <c r="M27" s="164"/>
      <c r="N27" s="130"/>
      <c r="O27" s="46"/>
      <c r="P27" s="42"/>
      <c r="Q27" s="6"/>
    </row>
    <row r="28" spans="1:17" ht="15.75">
      <c r="A28" s="1"/>
      <c r="C28" s="13" t="s">
        <v>87</v>
      </c>
      <c r="D28" s="41" t="s">
        <v>121</v>
      </c>
      <c r="E28" s="68"/>
      <c r="F28" s="68"/>
      <c r="G28" s="59"/>
      <c r="J28" s="161"/>
      <c r="K28" s="131"/>
      <c r="L28" s="50"/>
      <c r="M28" s="161"/>
      <c r="N28" s="141"/>
      <c r="O28" s="122"/>
      <c r="P28" s="42"/>
      <c r="Q28" s="5"/>
    </row>
    <row r="29" spans="1:17" ht="15.75">
      <c r="A29" s="1"/>
      <c r="C29" s="13"/>
      <c r="D29" s="87"/>
      <c r="E29" s="70">
        <v>0</v>
      </c>
      <c r="F29" s="88">
        <f>SUM(52*E29/4.3333)</f>
        <v>0</v>
      </c>
      <c r="G29" s="69">
        <v>0</v>
      </c>
      <c r="J29" s="161">
        <f>ROUND(G29*E29,0)</f>
        <v>0</v>
      </c>
      <c r="K29" s="131">
        <f>ROUND(J29*'RATES-Non Fed'!E39,0)</f>
        <v>0</v>
      </c>
      <c r="L29" s="50">
        <f>SUM(J29:K29)</f>
        <v>0</v>
      </c>
      <c r="M29" s="161">
        <f>ROUND(J29*1.02,0)</f>
        <v>0</v>
      </c>
      <c r="N29" s="131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 ht="15.75">
      <c r="A30" s="1"/>
      <c r="C30" s="13"/>
      <c r="D30" s="1"/>
      <c r="E30" s="70">
        <v>0</v>
      </c>
      <c r="F30" s="88">
        <f>SUM(52*E30/4.3333)</f>
        <v>0</v>
      </c>
      <c r="G30" s="69">
        <v>0</v>
      </c>
      <c r="J30" s="161">
        <f>ROUND(G30*E30,0)</f>
        <v>0</v>
      </c>
      <c r="K30" s="131">
        <f>ROUND(J30*'RATES-Non Fed'!E39,0)</f>
        <v>0</v>
      </c>
      <c r="L30" s="50">
        <f>SUM(J30:K30)</f>
        <v>0</v>
      </c>
      <c r="M30" s="161">
        <f>ROUND(J30*1.02,0)</f>
        <v>0</v>
      </c>
      <c r="N30" s="131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ht="15.75">
      <c r="A31" s="1"/>
      <c r="C31" s="13"/>
      <c r="D31" s="1"/>
      <c r="E31" s="70">
        <v>0</v>
      </c>
      <c r="F31" s="88">
        <f>SUM(52*E31/4.3333)</f>
        <v>0</v>
      </c>
      <c r="G31" s="69">
        <v>0</v>
      </c>
      <c r="J31" s="176">
        <f>ROUND(G31*E31,0)</f>
        <v>0</v>
      </c>
      <c r="K31" s="177">
        <f>ROUND(J31*'RATES-Non Fed'!E39,0)</f>
        <v>0</v>
      </c>
      <c r="L31" s="178">
        <f>SUM(J31:K31)</f>
        <v>0</v>
      </c>
      <c r="M31" s="176">
        <f>ROUND(J31*1.02,0)</f>
        <v>0</v>
      </c>
      <c r="N31" s="177">
        <f>ROUND(M31*'RATES-Non Fed'!G39,0)</f>
        <v>0</v>
      </c>
      <c r="O31" s="178">
        <f>SUM(M31:N31)</f>
        <v>0</v>
      </c>
      <c r="P31" s="179">
        <f>SUM(L31+O31)</f>
        <v>0</v>
      </c>
      <c r="Q31" s="5"/>
    </row>
    <row r="32" spans="1:17" ht="15.75">
      <c r="A32" s="1"/>
      <c r="C32" s="13"/>
      <c r="D32" s="1" t="s">
        <v>122</v>
      </c>
      <c r="E32" s="70"/>
      <c r="F32" s="70"/>
      <c r="G32" s="69"/>
      <c r="J32" s="167">
        <f aca="true" t="shared" si="8" ref="J32:P32">SUM(J29:J31)</f>
        <v>0</v>
      </c>
      <c r="K32" s="131">
        <f t="shared" si="8"/>
        <v>0</v>
      </c>
      <c r="L32" s="50">
        <f t="shared" si="8"/>
        <v>0</v>
      </c>
      <c r="M32" s="167">
        <f t="shared" si="8"/>
        <v>0</v>
      </c>
      <c r="N32" s="141">
        <f t="shared" si="8"/>
        <v>0</v>
      </c>
      <c r="O32" s="122">
        <f t="shared" si="8"/>
        <v>0</v>
      </c>
      <c r="P32" s="42">
        <f t="shared" si="8"/>
        <v>0</v>
      </c>
      <c r="Q32" s="5"/>
    </row>
    <row r="33" spans="1:17" ht="9.75" customHeight="1">
      <c r="A33" s="1"/>
      <c r="C33" s="13"/>
      <c r="D33" s="1"/>
      <c r="E33" s="70"/>
      <c r="F33" s="70"/>
      <c r="G33" s="69"/>
      <c r="J33" s="167"/>
      <c r="K33" s="131"/>
      <c r="L33" s="50"/>
      <c r="M33" s="167"/>
      <c r="N33" s="141"/>
      <c r="O33" s="122"/>
      <c r="P33" s="42"/>
      <c r="Q33" s="5"/>
    </row>
    <row r="34" spans="1:17" ht="15.75">
      <c r="A34" s="1"/>
      <c r="C34" s="13" t="s">
        <v>88</v>
      </c>
      <c r="D34" s="1"/>
      <c r="E34" s="70">
        <v>0</v>
      </c>
      <c r="F34" s="88">
        <f>SUM(52*E34/4.3333)</f>
        <v>0</v>
      </c>
      <c r="G34" s="69">
        <v>0</v>
      </c>
      <c r="J34" s="161">
        <f>ROUND(G34*E34,0)</f>
        <v>0</v>
      </c>
      <c r="K34" s="131">
        <f>ROUND(J34*'RATES-Non Fed'!E43,0)</f>
        <v>0</v>
      </c>
      <c r="L34" s="50">
        <f>SUM(J34:K34)</f>
        <v>0</v>
      </c>
      <c r="M34" s="161">
        <f>ROUND((J34*1.02),0)</f>
        <v>0</v>
      </c>
      <c r="N34" s="131">
        <f>ROUND(M34*'RATES-Non Fed'!G43,0)</f>
        <v>0</v>
      </c>
      <c r="O34" s="50">
        <f>SUM(M34:N34)</f>
        <v>0</v>
      </c>
      <c r="P34" s="42">
        <f>SUM(L34+O34)</f>
        <v>0</v>
      </c>
      <c r="Q34" s="5"/>
    </row>
    <row r="35" spans="1:17" ht="15.75">
      <c r="A35" s="1"/>
      <c r="C35" s="13" t="s">
        <v>18</v>
      </c>
      <c r="D35" s="1"/>
      <c r="E35" s="70">
        <v>0</v>
      </c>
      <c r="F35" s="88">
        <f>SUM(52*E35/4.3333)</f>
        <v>0</v>
      </c>
      <c r="G35" s="69">
        <v>0</v>
      </c>
      <c r="J35" s="161">
        <f>ROUND(G35*E35,0)</f>
        <v>0</v>
      </c>
      <c r="K35" s="131">
        <f>ROUND(J35*'RATES-Non Fed'!E42,0)</f>
        <v>0</v>
      </c>
      <c r="L35" s="50">
        <f>SUM(J35:K35)</f>
        <v>0</v>
      </c>
      <c r="M35" s="161">
        <f>ROUND((J35*1.02),0)</f>
        <v>0</v>
      </c>
      <c r="N35" s="131">
        <f>ROUND(M35*'RATES-Non Fed'!G42,0)</f>
        <v>0</v>
      </c>
      <c r="O35" s="50">
        <f>SUM(M35:N35)</f>
        <v>0</v>
      </c>
      <c r="P35" s="42">
        <f>SUM(L35+O35)</f>
        <v>0</v>
      </c>
      <c r="Q35" s="5"/>
    </row>
    <row r="36" spans="1:17" ht="15.75">
      <c r="A36" s="1"/>
      <c r="C36" s="13" t="s">
        <v>19</v>
      </c>
      <c r="D36" s="1"/>
      <c r="E36" s="70">
        <v>0</v>
      </c>
      <c r="F36" s="88">
        <f>SUM(52*E36/4.3333)</f>
        <v>0</v>
      </c>
      <c r="G36" s="69">
        <v>0</v>
      </c>
      <c r="J36" s="161">
        <f>ROUND(G36*E36,0)</f>
        <v>0</v>
      </c>
      <c r="K36" s="131">
        <f>ROUND(J36*'RATES-Non Fed'!E42,0)</f>
        <v>0</v>
      </c>
      <c r="L36" s="50">
        <f>SUM(J36:K36)</f>
        <v>0</v>
      </c>
      <c r="M36" s="161">
        <f>ROUND((J36*1.02),0)</f>
        <v>0</v>
      </c>
      <c r="N36" s="131">
        <f>ROUND(M36*'RATES-Non Fed'!G42,0)</f>
        <v>0</v>
      </c>
      <c r="O36" s="50">
        <f>SUM(M36:N36)</f>
        <v>0</v>
      </c>
      <c r="P36" s="42">
        <f>SUM(L36+O36)</f>
        <v>0</v>
      </c>
      <c r="Q36" s="5"/>
    </row>
    <row r="37" spans="1:19" s="84" customFormat="1" ht="15.75">
      <c r="A37" s="117"/>
      <c r="C37" s="116" t="s">
        <v>20</v>
      </c>
      <c r="D37" s="117"/>
      <c r="E37" s="70">
        <v>0</v>
      </c>
      <c r="F37" s="88">
        <f>SUM(52*E37/4.3333)</f>
        <v>0</v>
      </c>
      <c r="G37" s="69">
        <v>0</v>
      </c>
      <c r="J37" s="161">
        <f>ROUND(G37*E37,0)</f>
        <v>0</v>
      </c>
      <c r="K37" s="131">
        <f>ROUND(J37*'RATES-Non Fed'!E43,0)</f>
        <v>0</v>
      </c>
      <c r="L37" s="50">
        <f>SUM(J37:K37)</f>
        <v>0</v>
      </c>
      <c r="M37" s="161">
        <f>ROUND((J37*1.02),0)</f>
        <v>0</v>
      </c>
      <c r="N37" s="131">
        <f>ROUND(M37*'RATES-Non Fed'!G43,0)</f>
        <v>0</v>
      </c>
      <c r="O37" s="50">
        <f>SUM(M37:N37)</f>
        <v>0</v>
      </c>
      <c r="P37" s="42">
        <f>SUM(L37+O37)</f>
        <v>0</v>
      </c>
      <c r="Q37" s="124"/>
      <c r="S37"/>
    </row>
    <row r="38" spans="1:19" s="84" customFormat="1" ht="15.75">
      <c r="A38" s="117"/>
      <c r="C38" s="116" t="s">
        <v>89</v>
      </c>
      <c r="D38" s="117"/>
      <c r="E38" s="70">
        <v>0</v>
      </c>
      <c r="F38" s="88">
        <f>SUM(52*E38/4.3333)</f>
        <v>0</v>
      </c>
      <c r="G38" s="69">
        <v>0</v>
      </c>
      <c r="J38" s="176">
        <f>ROUND(G38*E38,0)</f>
        <v>0</v>
      </c>
      <c r="K38" s="177">
        <f>ROUND(J38*'RATES-Non Fed'!E41,0)</f>
        <v>0</v>
      </c>
      <c r="L38" s="178">
        <f>SUM(J38:K38)</f>
        <v>0</v>
      </c>
      <c r="M38" s="176">
        <f>ROUND((J38*1.02),0)</f>
        <v>0</v>
      </c>
      <c r="N38" s="184">
        <f>ROUND(M38*'RATES-Non Fed'!G41,0)</f>
        <v>0</v>
      </c>
      <c r="O38" s="178">
        <f>SUM(M38:N38)</f>
        <v>0</v>
      </c>
      <c r="P38" s="179">
        <f>SUM(L38+O38)</f>
        <v>0</v>
      </c>
      <c r="Q38" s="124"/>
      <c r="S38"/>
    </row>
    <row r="39" spans="1:19" ht="15.75">
      <c r="A39" s="1"/>
      <c r="B39" s="1"/>
      <c r="C39" s="1"/>
      <c r="D39" s="162" t="s">
        <v>152</v>
      </c>
      <c r="E39" s="26"/>
      <c r="F39" s="26"/>
      <c r="G39" s="1"/>
      <c r="H39" s="1"/>
      <c r="I39" s="1"/>
      <c r="J39" s="183">
        <f aca="true" t="shared" si="9" ref="J39:O39">SUM(J19+J25+J32+J34+J35+J36+J37+J38)</f>
        <v>0</v>
      </c>
      <c r="K39" s="131">
        <f t="shared" si="9"/>
        <v>0</v>
      </c>
      <c r="L39" s="50">
        <f t="shared" si="9"/>
        <v>0</v>
      </c>
      <c r="M39" s="183">
        <f t="shared" si="9"/>
        <v>0</v>
      </c>
      <c r="N39" s="131">
        <f t="shared" si="9"/>
        <v>0</v>
      </c>
      <c r="O39" s="50">
        <f t="shared" si="9"/>
        <v>0</v>
      </c>
      <c r="P39" s="42">
        <f>SUM(P34:P38)</f>
        <v>0</v>
      </c>
      <c r="Q39" s="5"/>
      <c r="S39" s="186"/>
    </row>
    <row r="40" spans="1:19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30"/>
      <c r="L40" s="150"/>
      <c r="M40" s="64"/>
      <c r="P40" s="64" t="s">
        <v>1</v>
      </c>
      <c r="Q40" s="6"/>
      <c r="S40" s="186"/>
    </row>
    <row r="41" spans="1:19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32"/>
      <c r="L41" s="152"/>
      <c r="M41" s="47">
        <f>SUM(M39+N39)</f>
        <v>0</v>
      </c>
      <c r="N41" s="132"/>
      <c r="O41" s="118"/>
      <c r="P41" s="47">
        <f>SUM(J41+M41)</f>
        <v>0</v>
      </c>
      <c r="Q41" s="29"/>
      <c r="S41"/>
    </row>
    <row r="42" spans="1:17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30"/>
      <c r="L42" s="150"/>
      <c r="M42" s="46"/>
      <c r="N42" s="130"/>
      <c r="O42" s="46"/>
      <c r="P42" s="46" t="s">
        <v>1</v>
      </c>
      <c r="Q42" s="6"/>
    </row>
    <row r="43" spans="1:19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30"/>
      <c r="L43" s="150"/>
      <c r="M43" s="50"/>
      <c r="N43" s="130"/>
      <c r="O43" s="46"/>
      <c r="P43" s="50" t="s">
        <v>1</v>
      </c>
      <c r="Q43" s="6"/>
      <c r="S43" s="31"/>
    </row>
    <row r="44" spans="1:17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30"/>
      <c r="L44" s="150"/>
      <c r="M44" s="42">
        <v>0</v>
      </c>
      <c r="N44" s="131"/>
      <c r="O44" s="50"/>
      <c r="P44" s="42">
        <f>SUM(J44:O44)</f>
        <v>0</v>
      </c>
      <c r="Q44" s="6"/>
    </row>
    <row r="45" spans="1:17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30"/>
      <c r="L45" s="150"/>
      <c r="M45" s="42">
        <v>0</v>
      </c>
      <c r="N45" s="131"/>
      <c r="O45" s="50"/>
      <c r="P45" s="42">
        <f>SUM(J45:O45)</f>
        <v>0</v>
      </c>
      <c r="Q45" s="6"/>
    </row>
    <row r="46" spans="1:17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33"/>
      <c r="L46" s="153"/>
      <c r="M46" s="53">
        <f>SUM(M44:M45)</f>
        <v>0</v>
      </c>
      <c r="N46" s="133"/>
      <c r="O46" s="48"/>
      <c r="P46" s="53">
        <f>SUM(J46:O46)</f>
        <v>0</v>
      </c>
      <c r="Q46" s="29"/>
    </row>
    <row r="47" spans="1:16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30"/>
      <c r="L47" s="150"/>
      <c r="M47" s="46"/>
      <c r="N47" s="130"/>
      <c r="O47" s="46"/>
      <c r="P47" s="46"/>
    </row>
    <row r="48" spans="1:17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/>
      <c r="K48" s="131"/>
      <c r="L48" s="151"/>
      <c r="M48" s="45" t="s">
        <v>1</v>
      </c>
      <c r="N48" s="131"/>
      <c r="O48" s="50"/>
      <c r="P48" s="45"/>
      <c r="Q48" s="5"/>
    </row>
    <row r="49" spans="1:17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31"/>
      <c r="L49" s="151"/>
      <c r="M49" s="42">
        <f>ROUND((J49*1.02),0)</f>
        <v>0</v>
      </c>
      <c r="N49" s="141"/>
      <c r="O49" s="122"/>
      <c r="P49" s="42">
        <f>SUM(J49:O49)</f>
        <v>0</v>
      </c>
      <c r="Q49" s="5"/>
    </row>
    <row r="50" spans="1:17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31"/>
      <c r="L50" s="151"/>
      <c r="M50" s="42">
        <f>ROUND((J50*1.02),0)</f>
        <v>0</v>
      </c>
      <c r="N50" s="141"/>
      <c r="O50" s="122"/>
      <c r="P50" s="42">
        <f>SUM(J50:O50)</f>
        <v>0</v>
      </c>
      <c r="Q50" s="5"/>
    </row>
    <row r="51" spans="1:19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33"/>
      <c r="L51" s="153"/>
      <c r="M51" s="55">
        <f>SUM(M49:M50)</f>
        <v>0</v>
      </c>
      <c r="N51" s="133"/>
      <c r="O51" s="48"/>
      <c r="P51" s="55">
        <f>SUM(J51:O51)</f>
        <v>0</v>
      </c>
      <c r="Q51" s="29"/>
      <c r="S51"/>
    </row>
    <row r="52" spans="1:17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30"/>
      <c r="L52" s="150"/>
      <c r="M52" s="42"/>
      <c r="N52" s="130"/>
      <c r="O52" s="46"/>
      <c r="P52" s="42"/>
      <c r="Q52" s="6"/>
    </row>
    <row r="53" spans="1:19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31"/>
      <c r="L53" s="151"/>
      <c r="M53" s="42" t="s">
        <v>1</v>
      </c>
      <c r="N53" s="131"/>
      <c r="O53" s="50"/>
      <c r="P53" s="42"/>
      <c r="Q53" s="5"/>
      <c r="S53" s="31"/>
    </row>
    <row r="54" spans="1:17" ht="15.75">
      <c r="A54" s="21"/>
      <c r="B54" s="21"/>
      <c r="C54" s="13" t="s">
        <v>35</v>
      </c>
      <c r="D54" s="3"/>
      <c r="E54" s="31"/>
      <c r="F54" s="31"/>
      <c r="J54" s="42">
        <v>0</v>
      </c>
      <c r="K54" s="131"/>
      <c r="L54" s="151"/>
      <c r="M54" s="42">
        <f aca="true" t="shared" si="10" ref="M54:M60">ROUND((J54*1.02),0)</f>
        <v>0</v>
      </c>
      <c r="N54" s="141"/>
      <c r="O54" s="122"/>
      <c r="P54" s="42">
        <f aca="true" t="shared" si="11" ref="P54:P65">SUM(J54:O54)</f>
        <v>0</v>
      </c>
      <c r="Q54" s="5"/>
    </row>
    <row r="55" spans="1:17" ht="15.75">
      <c r="A55" s="21"/>
      <c r="B55" s="21"/>
      <c r="C55" s="13" t="s">
        <v>36</v>
      </c>
      <c r="D55" s="3"/>
      <c r="E55" s="31"/>
      <c r="F55" s="31"/>
      <c r="J55" s="42">
        <v>0</v>
      </c>
      <c r="K55" s="131"/>
      <c r="L55" s="151"/>
      <c r="M55" s="42">
        <f t="shared" si="10"/>
        <v>0</v>
      </c>
      <c r="N55" s="141"/>
      <c r="O55" s="122"/>
      <c r="P55" s="42">
        <f t="shared" si="11"/>
        <v>0</v>
      </c>
      <c r="Q55" s="5"/>
    </row>
    <row r="56" spans="1:17" ht="15.75">
      <c r="A56" s="21"/>
      <c r="B56" s="21"/>
      <c r="C56" s="13" t="s">
        <v>37</v>
      </c>
      <c r="D56" s="3"/>
      <c r="E56" s="31"/>
      <c r="F56" s="31"/>
      <c r="J56" s="42">
        <v>0</v>
      </c>
      <c r="K56" s="131"/>
      <c r="L56" s="151"/>
      <c r="M56" s="42">
        <f t="shared" si="10"/>
        <v>0</v>
      </c>
      <c r="N56" s="141"/>
      <c r="O56" s="122"/>
      <c r="P56" s="42">
        <f t="shared" si="11"/>
        <v>0</v>
      </c>
      <c r="Q56" s="5"/>
    </row>
    <row r="57" spans="1:17" ht="15.75">
      <c r="A57" s="21"/>
      <c r="B57" s="21"/>
      <c r="C57" s="13" t="s">
        <v>38</v>
      </c>
      <c r="D57" s="3"/>
      <c r="E57" s="31"/>
      <c r="F57" s="31"/>
      <c r="J57" s="42">
        <v>0</v>
      </c>
      <c r="K57" s="131"/>
      <c r="L57" s="151"/>
      <c r="M57" s="42">
        <f t="shared" si="10"/>
        <v>0</v>
      </c>
      <c r="N57" s="141"/>
      <c r="O57" s="122"/>
      <c r="P57" s="42">
        <f t="shared" si="11"/>
        <v>0</v>
      </c>
      <c r="Q57" s="5"/>
    </row>
    <row r="58" spans="1:17" ht="15.75">
      <c r="A58" s="21"/>
      <c r="B58" s="21"/>
      <c r="C58" s="193" t="s">
        <v>102</v>
      </c>
      <c r="D58" s="3"/>
      <c r="E58" s="31"/>
      <c r="F58" s="31"/>
      <c r="J58" s="42">
        <v>0</v>
      </c>
      <c r="K58" s="131"/>
      <c r="L58" s="151"/>
      <c r="M58" s="42">
        <f t="shared" si="10"/>
        <v>0</v>
      </c>
      <c r="N58" s="141"/>
      <c r="O58" s="122"/>
      <c r="P58" s="42">
        <f t="shared" si="11"/>
        <v>0</v>
      </c>
      <c r="Q58" s="5"/>
    </row>
    <row r="59" spans="1:17" ht="15.75">
      <c r="A59" s="21"/>
      <c r="B59" s="21"/>
      <c r="C59" s="13" t="s">
        <v>188</v>
      </c>
      <c r="D59" s="3"/>
      <c r="E59" s="31"/>
      <c r="F59" s="31"/>
      <c r="J59" s="42">
        <v>0</v>
      </c>
      <c r="K59" s="131"/>
      <c r="L59" s="151"/>
      <c r="M59" s="42">
        <f t="shared" si="10"/>
        <v>0</v>
      </c>
      <c r="N59" s="142"/>
      <c r="O59" s="42"/>
      <c r="P59" s="42">
        <f t="shared" si="11"/>
        <v>0</v>
      </c>
      <c r="Q59" s="5"/>
    </row>
    <row r="60" spans="1:17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31"/>
      <c r="L60" s="151"/>
      <c r="M60" s="42">
        <f t="shared" si="10"/>
        <v>0</v>
      </c>
      <c r="N60" s="142"/>
      <c r="O60" s="42"/>
      <c r="P60" s="42">
        <f t="shared" si="11"/>
        <v>0</v>
      </c>
      <c r="Q60" s="5"/>
    </row>
    <row r="61" spans="1:18" ht="15.75">
      <c r="A61" s="21"/>
      <c r="B61" s="21"/>
      <c r="C61" s="22" t="s">
        <v>40</v>
      </c>
      <c r="D61" s="10"/>
      <c r="E61" s="31"/>
      <c r="F61" s="31"/>
      <c r="J61" s="42">
        <v>0</v>
      </c>
      <c r="K61" s="131"/>
      <c r="L61" s="151"/>
      <c r="M61" s="42">
        <v>0</v>
      </c>
      <c r="N61" s="141"/>
      <c r="O61" s="122"/>
      <c r="P61" s="42">
        <f t="shared" si="11"/>
        <v>0</v>
      </c>
      <c r="Q61" s="5"/>
      <c r="R61" s="76"/>
    </row>
    <row r="62" spans="1:18" ht="15.75">
      <c r="A62" s="21"/>
      <c r="B62" s="21"/>
      <c r="C62" s="63" t="s">
        <v>41</v>
      </c>
      <c r="D62" s="10"/>
      <c r="E62" s="31"/>
      <c r="F62" s="31"/>
      <c r="J62" s="42">
        <v>0</v>
      </c>
      <c r="K62" s="131"/>
      <c r="L62" s="151"/>
      <c r="M62" s="42">
        <v>0</v>
      </c>
      <c r="N62" s="141"/>
      <c r="O62" s="122"/>
      <c r="P62" s="42">
        <f t="shared" si="11"/>
        <v>0</v>
      </c>
      <c r="Q62" s="5"/>
      <c r="R62" s="76"/>
    </row>
    <row r="63" spans="1:18" ht="15.75">
      <c r="A63" s="21"/>
      <c r="B63" s="21"/>
      <c r="C63" s="63" t="s">
        <v>94</v>
      </c>
      <c r="D63" s="10"/>
      <c r="E63" s="31"/>
      <c r="F63" s="31"/>
      <c r="J63" s="42">
        <v>0</v>
      </c>
      <c r="K63" s="131"/>
      <c r="L63" s="151"/>
      <c r="M63" s="42">
        <v>0</v>
      </c>
      <c r="N63" s="141"/>
      <c r="O63" s="122"/>
      <c r="P63" s="42">
        <f t="shared" si="11"/>
        <v>0</v>
      </c>
      <c r="Q63" s="5"/>
      <c r="R63" s="76"/>
    </row>
    <row r="64" spans="1:18" ht="15">
      <c r="A64" s="21"/>
      <c r="B64" s="21"/>
      <c r="C64" s="63" t="s">
        <v>95</v>
      </c>
      <c r="D64" s="10"/>
      <c r="E64" s="31"/>
      <c r="F64" s="31"/>
      <c r="J64" s="42">
        <v>0</v>
      </c>
      <c r="K64" s="131"/>
      <c r="L64" s="151"/>
      <c r="M64" s="42">
        <v>0</v>
      </c>
      <c r="N64" s="141"/>
      <c r="O64" s="122"/>
      <c r="P64" s="42">
        <f t="shared" si="11"/>
        <v>0</v>
      </c>
      <c r="Q64" s="5"/>
      <c r="R64" s="76"/>
    </row>
    <row r="65" spans="1:18" ht="1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34"/>
      <c r="L65" s="154"/>
      <c r="M65" s="43">
        <f>SUM(M54:M64)</f>
        <v>0</v>
      </c>
      <c r="N65" s="134"/>
      <c r="O65" s="44"/>
      <c r="P65" s="43">
        <f t="shared" si="11"/>
        <v>0</v>
      </c>
      <c r="Q65" s="34"/>
      <c r="R65" s="76"/>
    </row>
    <row r="66" spans="1:17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30"/>
      <c r="L66" s="150"/>
      <c r="M66" s="46"/>
      <c r="N66" s="130"/>
      <c r="O66" s="46"/>
      <c r="P66" s="46" t="s">
        <v>1</v>
      </c>
      <c r="Q66" s="6"/>
    </row>
    <row r="67" spans="1:17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35"/>
      <c r="L67" s="155"/>
      <c r="M67" s="65">
        <f>ROUND(+M65+M51+M46+M41,0)</f>
        <v>0</v>
      </c>
      <c r="N67" s="135"/>
      <c r="O67" s="65"/>
      <c r="P67" s="65">
        <f>SUM(J67:O67)</f>
        <v>0</v>
      </c>
      <c r="Q67" s="34"/>
    </row>
    <row r="68" spans="1:16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35"/>
      <c r="L68" s="155"/>
      <c r="M68" s="65"/>
      <c r="N68" s="143"/>
      <c r="O68" s="170"/>
      <c r="P68" s="65"/>
    </row>
    <row r="69" spans="1:18" ht="15">
      <c r="A69" s="28"/>
      <c r="B69" s="28"/>
      <c r="C69" s="28"/>
      <c r="D69" s="21"/>
      <c r="G69" s="39"/>
      <c r="H69" s="86" t="s">
        <v>117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36"/>
      <c r="L69" s="156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36"/>
      <c r="O69" s="171"/>
      <c r="P69" s="74">
        <f>SUM(J69:O69)</f>
        <v>0</v>
      </c>
      <c r="R69" s="76"/>
    </row>
    <row r="70" spans="1:17" ht="15">
      <c r="A70" s="33" t="s">
        <v>116</v>
      </c>
      <c r="B70" s="1"/>
      <c r="C70" s="1"/>
      <c r="J70" s="42"/>
      <c r="K70" s="137"/>
      <c r="L70" s="157"/>
      <c r="M70" s="50"/>
      <c r="N70" s="137"/>
      <c r="O70" s="56"/>
      <c r="P70" s="50"/>
      <c r="Q70" s="5"/>
    </row>
    <row r="71" spans="1:17" ht="15">
      <c r="A71" s="13" t="s">
        <v>119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0.6175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0.62</v>
      </c>
      <c r="F71" s="7"/>
      <c r="G71" s="7"/>
      <c r="H71" s="7"/>
      <c r="J71" s="50">
        <f>ROUND(+D71*(J67-J46-J61-J62-J63-J64-J58-J59),0)</f>
        <v>0</v>
      </c>
      <c r="K71" s="131"/>
      <c r="L71" s="151"/>
      <c r="M71" s="50">
        <f>ROUND(+E71*(M67-M46-M61-M62-M63-M64-M58-M59),0)</f>
        <v>0</v>
      </c>
      <c r="N71" s="131"/>
      <c r="O71" s="50"/>
      <c r="P71" s="50">
        <f aca="true" t="shared" si="12" ref="P71:P76">SUM(J71:O71)</f>
        <v>0</v>
      </c>
      <c r="Q71" s="5"/>
    </row>
    <row r="72" spans="1:17" ht="15">
      <c r="A72" s="13" t="s">
        <v>44</v>
      </c>
      <c r="D72" s="7">
        <f aca="true" t="shared" si="13" ref="D72:E74">+D71</f>
        <v>0.6175</v>
      </c>
      <c r="E72" s="7">
        <f t="shared" si="13"/>
        <v>0.62</v>
      </c>
      <c r="F72" s="7"/>
      <c r="G72" s="7"/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31"/>
      <c r="O72" s="50"/>
      <c r="P72" s="50">
        <f t="shared" si="12"/>
        <v>0</v>
      </c>
      <c r="Q72" s="5"/>
    </row>
    <row r="73" spans="1:17" ht="15">
      <c r="A73" s="13" t="s">
        <v>45</v>
      </c>
      <c r="D73" s="7">
        <f t="shared" si="13"/>
        <v>0.6175</v>
      </c>
      <c r="E73" s="7">
        <f t="shared" si="13"/>
        <v>0.62</v>
      </c>
      <c r="F73" s="7"/>
      <c r="G73" s="7"/>
      <c r="H73" s="7"/>
      <c r="J73" s="50">
        <f>(IF((J62)&gt;25000,(25000),J62)*D73)</f>
        <v>0</v>
      </c>
      <c r="K73" s="198"/>
      <c r="L73" s="151"/>
      <c r="M73" s="50">
        <f>IF(J62&gt;=(25000),0,((IF((J62+M62)&lt;=(25000),M62,(25000-J62))))*E73)</f>
        <v>0</v>
      </c>
      <c r="N73" s="131"/>
      <c r="O73" s="50"/>
      <c r="P73" s="50">
        <f t="shared" si="12"/>
        <v>0</v>
      </c>
      <c r="Q73" s="5"/>
    </row>
    <row r="74" spans="1:17" ht="15">
      <c r="A74" s="13" t="s">
        <v>92</v>
      </c>
      <c r="D74" s="7">
        <f t="shared" si="13"/>
        <v>0.6175</v>
      </c>
      <c r="E74" s="7">
        <f t="shared" si="13"/>
        <v>0.62</v>
      </c>
      <c r="F74" s="7"/>
      <c r="G74" s="7"/>
      <c r="H74" s="7"/>
      <c r="J74" s="50">
        <f>(IF((J63)&gt;25000,(25000),J63)*D74)</f>
        <v>0</v>
      </c>
      <c r="K74" s="198"/>
      <c r="L74" s="151"/>
      <c r="M74" s="50">
        <f>IF(J63&gt;=(25000),0,((IF((J63+M63)&lt;=(25000),M63,(25000-J63))))*E74)</f>
        <v>0</v>
      </c>
      <c r="N74" s="131"/>
      <c r="O74" s="50"/>
      <c r="P74" s="50">
        <f t="shared" si="12"/>
        <v>0</v>
      </c>
      <c r="Q74" s="5"/>
    </row>
    <row r="75" spans="1:17" ht="15">
      <c r="A75" s="13" t="s">
        <v>93</v>
      </c>
      <c r="B75" s="1"/>
      <c r="C75" s="1"/>
      <c r="D75" s="7">
        <f>+D72</f>
        <v>0.6175</v>
      </c>
      <c r="E75" s="7">
        <f>+E72</f>
        <v>0.62</v>
      </c>
      <c r="F75" s="7"/>
      <c r="G75" s="7"/>
      <c r="H75" s="7"/>
      <c r="J75" s="50">
        <f>(IF((J64)&gt;25000,(25000),J64)*D75)</f>
        <v>0</v>
      </c>
      <c r="K75" s="198"/>
      <c r="L75" s="151"/>
      <c r="M75" s="50">
        <f>IF(J64&gt;=(25000),0,((IF((J64+M64)&lt;=(25000),M64,(25000-J64))))*E75)</f>
        <v>0</v>
      </c>
      <c r="N75" s="131"/>
      <c r="O75" s="50"/>
      <c r="P75" s="50">
        <f t="shared" si="12"/>
        <v>0</v>
      </c>
      <c r="Q75" s="5"/>
    </row>
    <row r="76" spans="1:17" ht="15">
      <c r="A76" s="40" t="s">
        <v>118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34"/>
      <c r="L76" s="154"/>
      <c r="M76" s="53">
        <f>SUM(M71:M75)</f>
        <v>0</v>
      </c>
      <c r="N76" s="134"/>
      <c r="O76" s="44"/>
      <c r="P76" s="53">
        <f t="shared" si="12"/>
        <v>0</v>
      </c>
      <c r="Q76" s="5"/>
    </row>
    <row r="77" spans="1:17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34"/>
      <c r="L77" s="154"/>
      <c r="M77" s="62"/>
      <c r="N77" s="134"/>
      <c r="O77" s="44"/>
      <c r="P77" s="62"/>
      <c r="Q77" s="5"/>
    </row>
    <row r="78" spans="1:17" ht="18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35"/>
      <c r="L78" s="155"/>
      <c r="M78" s="72">
        <f>M76+M67</f>
        <v>0</v>
      </c>
      <c r="N78" s="135"/>
      <c r="O78" s="65"/>
      <c r="P78" s="72">
        <f>SUM(J78:O78)</f>
        <v>0</v>
      </c>
      <c r="Q78" s="5"/>
    </row>
    <row r="79" spans="1:17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31"/>
      <c r="L79" s="151"/>
      <c r="M79" s="50"/>
      <c r="N79" s="131"/>
      <c r="O79" s="50"/>
      <c r="P79" s="50" t="s">
        <v>1</v>
      </c>
      <c r="Q79" s="5"/>
    </row>
    <row r="80" spans="1:17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38"/>
      <c r="L80" s="158"/>
      <c r="M80" s="58"/>
      <c r="N80" s="138"/>
      <c r="O80" s="57"/>
      <c r="P80" s="58"/>
      <c r="Q80" s="1"/>
    </row>
    <row r="81" ht="15">
      <c r="C81" s="36" t="s">
        <v>120</v>
      </c>
    </row>
    <row r="82" spans="3:7" ht="15">
      <c r="C82" s="14" t="s">
        <v>47</v>
      </c>
      <c r="E82" s="15" t="s">
        <v>48</v>
      </c>
      <c r="G82" s="14" t="s">
        <v>49</v>
      </c>
    </row>
    <row r="83" spans="3:6" ht="15">
      <c r="C83" s="14" t="s">
        <v>145</v>
      </c>
      <c r="E83" s="9">
        <v>0</v>
      </c>
      <c r="F83" s="9"/>
    </row>
    <row r="84" spans="3:7" ht="15">
      <c r="C84" s="14" t="s">
        <v>50</v>
      </c>
      <c r="E84" s="146" t="s">
        <v>51</v>
      </c>
      <c r="G84" s="14" t="s">
        <v>52</v>
      </c>
    </row>
    <row r="87" spans="4:13" ht="15">
      <c r="D87" s="190" t="s">
        <v>166</v>
      </c>
      <c r="H87" s="188">
        <f>+'RATES-Non Fed'!E31</f>
        <v>0.605</v>
      </c>
      <c r="J87" s="187">
        <f>J76/12*'RATES-Non Fed'!$C$46</f>
        <v>0</v>
      </c>
      <c r="L87" s="188">
        <f>+'RATES-Non Fed'!G31</f>
        <v>0.62</v>
      </c>
      <c r="M87" s="187">
        <f>M76/12*'RATES-Non Fed'!$C$46</f>
        <v>0</v>
      </c>
    </row>
    <row r="88" spans="4:16" ht="17.25">
      <c r="D88" s="255" t="s">
        <v>167</v>
      </c>
      <c r="E88" s="255"/>
      <c r="F88" s="255"/>
      <c r="G88" s="255"/>
      <c r="H88" s="188">
        <f>+'RATES-Non Fed'!G31</f>
        <v>0.62</v>
      </c>
      <c r="J88" s="187">
        <f>J76/12*'RATES-Non Fed'!$D$46</f>
        <v>0</v>
      </c>
      <c r="L88" s="188">
        <f>+'RATES-Non Fed'!I31</f>
        <v>0.62</v>
      </c>
      <c r="M88" s="187">
        <f>M76/12*'RATES-Non Fed'!$D$46</f>
        <v>0</v>
      </c>
      <c r="N88" s="266"/>
      <c r="O88" s="266"/>
      <c r="P88" s="266"/>
    </row>
    <row r="89" spans="4:13" ht="15">
      <c r="D89" s="255"/>
      <c r="E89" s="255"/>
      <c r="F89" s="255"/>
      <c r="G89" s="255"/>
      <c r="J89" s="187">
        <f>SUM(J87:J88)</f>
        <v>0</v>
      </c>
      <c r="M89" s="187">
        <f>SUM(M87:M88)</f>
        <v>0</v>
      </c>
    </row>
  </sheetData>
  <sheetProtection/>
  <mergeCells count="5">
    <mergeCell ref="K4:O5"/>
    <mergeCell ref="J8:L8"/>
    <mergeCell ref="M8:O8"/>
    <mergeCell ref="N88:P88"/>
    <mergeCell ref="D88:G89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portrait" scale="56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8"/>
  <sheetViews>
    <sheetView showGridLines="0" zoomScale="75" zoomScaleNormal="75" workbookViewId="0" topLeftCell="A1">
      <selection activeCell="F34" sqref="F34:F3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39" bestFit="1" customWidth="1"/>
    <col min="12" max="12" width="10.125" style="159" bestFit="1" customWidth="1"/>
    <col min="13" max="13" width="11.25390625" style="0" customWidth="1"/>
    <col min="14" max="14" width="9.25390625" style="139" bestFit="1" customWidth="1"/>
    <col min="15" max="15" width="9.50390625" style="84" bestFit="1" customWidth="1"/>
    <col min="16" max="16" width="11.25390625" style="0" customWidth="1"/>
    <col min="17" max="17" width="9.25390625" style="139" bestFit="1" customWidth="1"/>
    <col min="18" max="18" width="8.75390625" style="84" bestFit="1" customWidth="1"/>
    <col min="19" max="19" width="14.625" style="0" customWidth="1"/>
    <col min="20" max="20" width="2.625" style="0" customWidth="1"/>
  </cols>
  <sheetData>
    <row r="1" spans="1:18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25"/>
      <c r="L1" s="147"/>
      <c r="M1" s="37"/>
      <c r="N1" s="140"/>
      <c r="O1" s="169"/>
      <c r="P1" s="37"/>
      <c r="Q1" s="140"/>
      <c r="R1" s="169"/>
    </row>
    <row r="2" spans="1:19" ht="18.75">
      <c r="A2" s="17" t="s">
        <v>154</v>
      </c>
      <c r="B2" s="18"/>
      <c r="C2" s="18"/>
      <c r="D2" s="18"/>
      <c r="E2" s="18"/>
      <c r="F2" s="18"/>
      <c r="G2" s="18"/>
      <c r="H2" s="18"/>
      <c r="I2" s="18"/>
      <c r="J2" s="19"/>
      <c r="K2" s="125"/>
      <c r="L2" s="147"/>
      <c r="M2" s="37"/>
      <c r="N2" s="140"/>
      <c r="O2" s="169"/>
      <c r="P2" s="37"/>
      <c r="Q2" s="140"/>
      <c r="R2" s="169"/>
      <c r="S2" s="37"/>
    </row>
    <row r="3" spans="1:19" ht="9.75" customHeight="1">
      <c r="A3" s="10" t="s">
        <v>1</v>
      </c>
      <c r="B3" s="1"/>
      <c r="J3" s="11" t="s">
        <v>1</v>
      </c>
      <c r="K3" s="126"/>
      <c r="L3" s="148"/>
      <c r="M3" s="8"/>
      <c r="P3" s="8"/>
      <c r="S3" s="8"/>
    </row>
    <row r="4" spans="1:19" ht="15.75">
      <c r="A4" s="22" t="s">
        <v>2</v>
      </c>
      <c r="B4" s="1"/>
      <c r="D4" s="10" t="s">
        <v>70</v>
      </c>
      <c r="G4" s="3"/>
      <c r="J4" s="20" t="s">
        <v>3</v>
      </c>
      <c r="K4" s="256" t="s">
        <v>70</v>
      </c>
      <c r="L4" s="257"/>
      <c r="M4" s="258"/>
      <c r="N4" s="258"/>
      <c r="O4" s="258"/>
      <c r="P4" s="258"/>
      <c r="Q4" s="258"/>
      <c r="R4" s="259"/>
      <c r="S4" s="8"/>
    </row>
    <row r="5" spans="1:19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60"/>
      <c r="L5" s="261"/>
      <c r="M5" s="261"/>
      <c r="N5" s="261"/>
      <c r="O5" s="261"/>
      <c r="P5" s="261"/>
      <c r="Q5" s="261"/>
      <c r="R5" s="262"/>
      <c r="S5" s="8"/>
    </row>
    <row r="6" spans="1:19" ht="15.75">
      <c r="A6" s="14"/>
      <c r="B6" s="22" t="s">
        <v>5</v>
      </c>
      <c r="D6" s="73">
        <f>'RATES-Non Fed'!E2</f>
        <v>44317</v>
      </c>
      <c r="E6" s="12" t="s">
        <v>6</v>
      </c>
      <c r="F6" s="12"/>
      <c r="G6" s="73">
        <f>'RATES-Non Fed'!G2</f>
        <v>46142</v>
      </c>
      <c r="H6" s="4"/>
      <c r="I6" s="4"/>
      <c r="J6" s="2"/>
      <c r="K6" s="127"/>
      <c r="L6" s="149"/>
      <c r="M6" s="3"/>
      <c r="N6" s="127"/>
      <c r="O6" s="123"/>
      <c r="P6" s="3"/>
      <c r="Q6" s="127"/>
      <c r="R6" s="123"/>
      <c r="S6" s="8"/>
    </row>
    <row r="7" spans="5:20" ht="7.5" customHeight="1">
      <c r="E7" s="3"/>
      <c r="F7" s="3"/>
      <c r="G7" s="1"/>
      <c r="H7" s="1"/>
      <c r="I7" s="1"/>
      <c r="J7" s="16" t="s">
        <v>1</v>
      </c>
      <c r="K7" s="126"/>
      <c r="L7" s="148"/>
      <c r="M7" s="8"/>
      <c r="N7" s="126"/>
      <c r="O7" s="117"/>
      <c r="P7" s="8"/>
      <c r="Q7" s="126"/>
      <c r="R7" s="117"/>
      <c r="S7" s="8"/>
      <c r="T7" s="1"/>
    </row>
    <row r="8" spans="1:20" ht="15.75">
      <c r="A8" s="21"/>
      <c r="B8" s="21"/>
      <c r="C8" s="21"/>
      <c r="D8" s="21"/>
      <c r="E8" s="21"/>
      <c r="F8" s="21"/>
      <c r="G8" s="21"/>
      <c r="H8" s="21"/>
      <c r="I8" s="21"/>
      <c r="J8" s="245" t="s">
        <v>21</v>
      </c>
      <c r="K8" s="246"/>
      <c r="L8" s="247"/>
      <c r="M8" s="263" t="s">
        <v>54</v>
      </c>
      <c r="N8" s="264"/>
      <c r="O8" s="265"/>
      <c r="P8" s="263" t="s">
        <v>56</v>
      </c>
      <c r="Q8" s="264"/>
      <c r="R8" s="265"/>
      <c r="S8" s="145" t="s">
        <v>8</v>
      </c>
      <c r="T8" s="21"/>
    </row>
    <row r="9" spans="1:20" s="121" customFormat="1" ht="15.75">
      <c r="A9" s="119" t="s">
        <v>9</v>
      </c>
      <c r="B9" s="119" t="s">
        <v>10</v>
      </c>
      <c r="C9" s="119"/>
      <c r="D9" s="119"/>
      <c r="E9" s="119"/>
      <c r="F9" s="119"/>
      <c r="G9" s="119"/>
      <c r="H9" s="119"/>
      <c r="I9" s="119"/>
      <c r="J9" s="163" t="s">
        <v>149</v>
      </c>
      <c r="K9" s="128" t="s">
        <v>150</v>
      </c>
      <c r="L9" s="119" t="s">
        <v>151</v>
      </c>
      <c r="M9" s="168" t="s">
        <v>149</v>
      </c>
      <c r="N9" s="128" t="s">
        <v>150</v>
      </c>
      <c r="O9" s="119" t="s">
        <v>151</v>
      </c>
      <c r="P9" s="168" t="s">
        <v>149</v>
      </c>
      <c r="Q9" s="128" t="s">
        <v>150</v>
      </c>
      <c r="R9" s="119" t="s">
        <v>151</v>
      </c>
      <c r="S9" s="120"/>
      <c r="T9" s="119"/>
    </row>
    <row r="10" spans="1:20" ht="15.75">
      <c r="A10" s="1"/>
      <c r="B10" s="23" t="s">
        <v>11</v>
      </c>
      <c r="C10" s="24"/>
      <c r="D10" s="24" t="s">
        <v>101</v>
      </c>
      <c r="E10" s="1" t="s">
        <v>12</v>
      </c>
      <c r="F10" s="41" t="s">
        <v>123</v>
      </c>
      <c r="G10" s="41" t="s">
        <v>13</v>
      </c>
      <c r="H10" s="1"/>
      <c r="I10" s="1"/>
      <c r="J10" s="164"/>
      <c r="K10" s="126"/>
      <c r="L10" s="117"/>
      <c r="M10" s="164"/>
      <c r="N10" s="126"/>
      <c r="O10" s="117"/>
      <c r="P10" s="164"/>
      <c r="Q10" s="126"/>
      <c r="R10" s="117"/>
      <c r="S10" s="2">
        <f>IF(SUM(J10:N10)=0,"",SUM(J10:N10))</f>
      </c>
      <c r="T10" s="1"/>
    </row>
    <row r="11" spans="1:20" ht="15.75">
      <c r="A11" s="1"/>
      <c r="B11" s="1" t="s">
        <v>14</v>
      </c>
      <c r="C11" s="10" t="str">
        <f>D5</f>
        <v>name</v>
      </c>
      <c r="D11" s="115" t="s">
        <v>125</v>
      </c>
      <c r="E11" s="70">
        <v>0</v>
      </c>
      <c r="F11" s="89">
        <f>IF(D11="CAL",(52*E11/4.3333),(IF(D11="ACAD",(36.35*E11/4.33333),IF(D11="SUMR",(15.65*E11/4.33333),IF(D11="PT",(0),0)))))</f>
        <v>0</v>
      </c>
      <c r="G11" s="69">
        <v>0</v>
      </c>
      <c r="J11" s="161">
        <f>ROUND(G11*E11,0)</f>
        <v>0</v>
      </c>
      <c r="K11" s="129">
        <f>ROUND(J11*'RATES-Non Fed'!E38,0)</f>
        <v>0</v>
      </c>
      <c r="L11" s="67">
        <f>ROUND(K11+J11,0)</f>
        <v>0</v>
      </c>
      <c r="M11" s="161">
        <f>ROUND((J11*1.025),0)</f>
        <v>0</v>
      </c>
      <c r="N11" s="129">
        <f>ROUND(M11*'RATES-Non Fed'!G38,0)</f>
        <v>0</v>
      </c>
      <c r="O11" s="67">
        <f aca="true" t="shared" si="0" ref="O11:O18">ROUND(M11+N11,0)</f>
        <v>0</v>
      </c>
      <c r="P11" s="161">
        <f>ROUND((M11*1.0275),0)</f>
        <v>0</v>
      </c>
      <c r="Q11" s="129">
        <f>ROUND(P11*'RATES-Non Fed'!I38,0)</f>
        <v>0</v>
      </c>
      <c r="R11" s="67">
        <f>SUM(P11:Q11)</f>
        <v>0</v>
      </c>
      <c r="S11" s="42">
        <f>SUM(L11+O11+R11)</f>
        <v>0</v>
      </c>
      <c r="T11" s="1"/>
    </row>
    <row r="12" spans="1:20" ht="15.75">
      <c r="A12" s="1"/>
      <c r="B12" s="1" t="s">
        <v>14</v>
      </c>
      <c r="C12" s="3"/>
      <c r="D12" s="115" t="str">
        <f>IF(D11="ACAD",("SUMR"),"")</f>
        <v>SUMR</v>
      </c>
      <c r="E12" s="70">
        <v>0</v>
      </c>
      <c r="F12" s="89">
        <f aca="true" t="shared" si="1" ref="F12:F17">IF(D12="CAL",(52*E12/4.3333),(IF(D12="ACAD",(36.35*E12/4.33333),IF(D12="SUMR",(15.65*E12/4.33333),IF(D12="PT",(0),0)))))</f>
        <v>0</v>
      </c>
      <c r="G12" s="69">
        <f>+G11*0.4375</f>
        <v>0</v>
      </c>
      <c r="J12" s="161">
        <f aca="true" t="shared" si="2" ref="J12:J18">ROUND(G12*E12,0)</f>
        <v>0</v>
      </c>
      <c r="K12" s="129">
        <f>ROUND(J12*'RATES-Non Fed'!E38,0)</f>
        <v>0</v>
      </c>
      <c r="L12" s="67">
        <f aca="true" t="shared" si="3" ref="L12:L18">ROUND(K12+J12,0)</f>
        <v>0</v>
      </c>
      <c r="M12" s="161">
        <f aca="true" t="shared" si="4" ref="M12:M18">ROUND((J12*1.025),0)</f>
        <v>0</v>
      </c>
      <c r="N12" s="129">
        <f>ROUND(M12*'RATES-Non Fed'!G38,0)</f>
        <v>0</v>
      </c>
      <c r="O12" s="67">
        <f t="shared" si="0"/>
        <v>0</v>
      </c>
      <c r="P12" s="161">
        <f aca="true" t="shared" si="5" ref="P12:P18">ROUND((M12*1.0275),0)</f>
        <v>0</v>
      </c>
      <c r="Q12" s="129">
        <f>ROUND(P12*'RATES-Non Fed'!I38,0)</f>
        <v>0</v>
      </c>
      <c r="R12" s="67">
        <f aca="true" t="shared" si="6" ref="R12:R18">SUM(P12:Q12)</f>
        <v>0</v>
      </c>
      <c r="S12" s="42">
        <f aca="true" t="shared" si="7" ref="S12:S18">SUM(L12+O12+R12)</f>
        <v>0</v>
      </c>
      <c r="T12" s="1"/>
    </row>
    <row r="13" spans="1:20" ht="15.75">
      <c r="A13" s="1"/>
      <c r="B13" s="1" t="s">
        <v>15</v>
      </c>
      <c r="C13" s="3"/>
      <c r="D13" s="115" t="s">
        <v>125</v>
      </c>
      <c r="E13" s="70">
        <v>0</v>
      </c>
      <c r="F13" s="89">
        <f t="shared" si="1"/>
        <v>0</v>
      </c>
      <c r="G13" s="69">
        <v>0</v>
      </c>
      <c r="J13" s="161">
        <f t="shared" si="2"/>
        <v>0</v>
      </c>
      <c r="K13" s="129">
        <f>ROUND(J13*'RATES-Non Fed'!E38,0)</f>
        <v>0</v>
      </c>
      <c r="L13" s="67">
        <f t="shared" si="3"/>
        <v>0</v>
      </c>
      <c r="M13" s="161">
        <f t="shared" si="4"/>
        <v>0</v>
      </c>
      <c r="N13" s="129">
        <f>ROUND(M13*'RATES-Non Fed'!G38,0)</f>
        <v>0</v>
      </c>
      <c r="O13" s="67">
        <f t="shared" si="0"/>
        <v>0</v>
      </c>
      <c r="P13" s="161">
        <f t="shared" si="5"/>
        <v>0</v>
      </c>
      <c r="Q13" s="129">
        <f>ROUND(P13*'RATES-Non Fed'!I38,0)</f>
        <v>0</v>
      </c>
      <c r="R13" s="67">
        <f t="shared" si="6"/>
        <v>0</v>
      </c>
      <c r="S13" s="42">
        <f t="shared" si="7"/>
        <v>0</v>
      </c>
      <c r="T13" s="1"/>
    </row>
    <row r="14" spans="1:19" ht="15.75">
      <c r="A14" s="1"/>
      <c r="B14" s="1"/>
      <c r="C14" s="3"/>
      <c r="D14" s="115" t="str">
        <f>IF(D13="ACAD",("SUMR"),"")</f>
        <v>SUMR</v>
      </c>
      <c r="E14" s="70">
        <v>0</v>
      </c>
      <c r="F14" s="89">
        <f t="shared" si="1"/>
        <v>0</v>
      </c>
      <c r="G14" s="69">
        <f>+G13*0.4375</f>
        <v>0</v>
      </c>
      <c r="J14" s="161">
        <f t="shared" si="2"/>
        <v>0</v>
      </c>
      <c r="K14" s="129">
        <f>ROUND(J14*'RATES-Non Fed'!E38,0)</f>
        <v>0</v>
      </c>
      <c r="L14" s="67">
        <f t="shared" si="3"/>
        <v>0</v>
      </c>
      <c r="M14" s="161">
        <f t="shared" si="4"/>
        <v>0</v>
      </c>
      <c r="N14" s="129">
        <f>ROUND(M14*'RATES-Non Fed'!G38,0)</f>
        <v>0</v>
      </c>
      <c r="O14" s="67">
        <f t="shared" si="0"/>
        <v>0</v>
      </c>
      <c r="P14" s="161">
        <f t="shared" si="5"/>
        <v>0</v>
      </c>
      <c r="Q14" s="129">
        <f>ROUND(P14*'RATES-Non Fed'!I38,0)</f>
        <v>0</v>
      </c>
      <c r="R14" s="67">
        <f t="shared" si="6"/>
        <v>0</v>
      </c>
      <c r="S14" s="42">
        <f t="shared" si="7"/>
        <v>0</v>
      </c>
    </row>
    <row r="15" spans="1:20" ht="15.75">
      <c r="A15" s="1"/>
      <c r="B15" s="1" t="s">
        <v>15</v>
      </c>
      <c r="C15" s="3"/>
      <c r="D15" s="115" t="s">
        <v>125</v>
      </c>
      <c r="E15" s="70">
        <v>0</v>
      </c>
      <c r="F15" s="89">
        <f t="shared" si="1"/>
        <v>0</v>
      </c>
      <c r="G15" s="69">
        <v>0</v>
      </c>
      <c r="J15" s="161">
        <f t="shared" si="2"/>
        <v>0</v>
      </c>
      <c r="K15" s="129">
        <f>ROUND(J15*'RATES-Non Fed'!E38,0)</f>
        <v>0</v>
      </c>
      <c r="L15" s="67">
        <f t="shared" si="3"/>
        <v>0</v>
      </c>
      <c r="M15" s="161">
        <f t="shared" si="4"/>
        <v>0</v>
      </c>
      <c r="N15" s="129">
        <f>ROUND(M15*'RATES-Non Fed'!G38,0)</f>
        <v>0</v>
      </c>
      <c r="O15" s="67">
        <f t="shared" si="0"/>
        <v>0</v>
      </c>
      <c r="P15" s="161">
        <f t="shared" si="5"/>
        <v>0</v>
      </c>
      <c r="Q15" s="129">
        <f>ROUND(P15*'RATES-Non Fed'!I38,0)</f>
        <v>0</v>
      </c>
      <c r="R15" s="67">
        <f t="shared" si="6"/>
        <v>0</v>
      </c>
      <c r="S15" s="42">
        <f t="shared" si="7"/>
        <v>0</v>
      </c>
      <c r="T15" s="1"/>
    </row>
    <row r="16" spans="1:19" ht="15.75">
      <c r="A16" s="1"/>
      <c r="B16" s="1"/>
      <c r="C16" s="3"/>
      <c r="D16" s="115" t="str">
        <f>IF(D15="ACAD",("SUMR"),"")</f>
        <v>SUMR</v>
      </c>
      <c r="E16" s="70">
        <v>0</v>
      </c>
      <c r="F16" s="89">
        <f t="shared" si="1"/>
        <v>0</v>
      </c>
      <c r="G16" s="69">
        <f>+G15*0.4375</f>
        <v>0</v>
      </c>
      <c r="J16" s="161">
        <f t="shared" si="2"/>
        <v>0</v>
      </c>
      <c r="K16" s="129">
        <f>ROUND(J16*'RATES-Non Fed'!E38,0)</f>
        <v>0</v>
      </c>
      <c r="L16" s="67">
        <f t="shared" si="3"/>
        <v>0</v>
      </c>
      <c r="M16" s="161">
        <f t="shared" si="4"/>
        <v>0</v>
      </c>
      <c r="N16" s="129">
        <f>ROUND(M16*'RATES-Non Fed'!G38,0)</f>
        <v>0</v>
      </c>
      <c r="O16" s="67">
        <f t="shared" si="0"/>
        <v>0</v>
      </c>
      <c r="P16" s="161">
        <f t="shared" si="5"/>
        <v>0</v>
      </c>
      <c r="Q16" s="129">
        <f>ROUND(P16*'RATES-Non Fed'!I38,0)</f>
        <v>0</v>
      </c>
      <c r="R16" s="67">
        <f t="shared" si="6"/>
        <v>0</v>
      </c>
      <c r="S16" s="42">
        <f t="shared" si="7"/>
        <v>0</v>
      </c>
    </row>
    <row r="17" spans="1:20" ht="15.75">
      <c r="A17" s="1"/>
      <c r="B17" s="1" t="s">
        <v>15</v>
      </c>
      <c r="C17" s="3"/>
      <c r="D17" s="115" t="s">
        <v>124</v>
      </c>
      <c r="E17" s="70">
        <v>0</v>
      </c>
      <c r="F17" s="89">
        <f t="shared" si="1"/>
        <v>0</v>
      </c>
      <c r="G17" s="69">
        <v>0</v>
      </c>
      <c r="J17" s="161">
        <f t="shared" si="2"/>
        <v>0</v>
      </c>
      <c r="K17" s="129">
        <f>ROUND(J17*'RATES-Non Fed'!E38,0)</f>
        <v>0</v>
      </c>
      <c r="L17" s="67">
        <f t="shared" si="3"/>
        <v>0</v>
      </c>
      <c r="M17" s="161">
        <f t="shared" si="4"/>
        <v>0</v>
      </c>
      <c r="N17" s="129">
        <f>ROUND(M17*'RATES-Non Fed'!G38,0)</f>
        <v>0</v>
      </c>
      <c r="O17" s="67">
        <f t="shared" si="0"/>
        <v>0</v>
      </c>
      <c r="P17" s="161">
        <f t="shared" si="5"/>
        <v>0</v>
      </c>
      <c r="Q17" s="129">
        <f>ROUND(P17*'RATES-Non Fed'!I38,0)</f>
        <v>0</v>
      </c>
      <c r="R17" s="67">
        <f t="shared" si="6"/>
        <v>0</v>
      </c>
      <c r="S17" s="42">
        <f t="shared" si="7"/>
        <v>0</v>
      </c>
      <c r="T17" s="1"/>
    </row>
    <row r="18" spans="1:19" ht="15.75">
      <c r="A18" s="1"/>
      <c r="B18" s="1" t="s">
        <v>15</v>
      </c>
      <c r="C18" s="3"/>
      <c r="D18" s="115" t="s">
        <v>124</v>
      </c>
      <c r="E18" s="70">
        <v>0</v>
      </c>
      <c r="F18" s="89">
        <f>IF(D18="CAL",(52*E18/4.3333),(IF(D18="ACAD",(36.35*E18/4.33333),IF(D18="SUMR",(15.65*E18/4.33333),IF(D18="PT",(0),0)))))</f>
        <v>0</v>
      </c>
      <c r="G18" s="69">
        <v>0</v>
      </c>
      <c r="J18" s="176">
        <f t="shared" si="2"/>
        <v>0</v>
      </c>
      <c r="K18" s="181">
        <f>ROUND(J18*'RATES-Non Fed'!E38,0)</f>
        <v>0</v>
      </c>
      <c r="L18" s="182">
        <f t="shared" si="3"/>
        <v>0</v>
      </c>
      <c r="M18" s="161">
        <f t="shared" si="4"/>
        <v>0</v>
      </c>
      <c r="N18" s="181">
        <f>ROUND(M18*'RATES-Non Fed'!G38,0)</f>
        <v>0</v>
      </c>
      <c r="O18" s="182">
        <f t="shared" si="0"/>
        <v>0</v>
      </c>
      <c r="P18" s="161">
        <f t="shared" si="5"/>
        <v>0</v>
      </c>
      <c r="Q18" s="181">
        <f>ROUND(P18*'RATES-Non Fed'!I38,0)</f>
        <v>0</v>
      </c>
      <c r="R18" s="182">
        <f t="shared" si="6"/>
        <v>0</v>
      </c>
      <c r="S18" s="179">
        <f t="shared" si="7"/>
        <v>0</v>
      </c>
    </row>
    <row r="19" spans="1:20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80">
        <f aca="true" t="shared" si="8" ref="J19:R19">SUM(J11:J18)</f>
        <v>0</v>
      </c>
      <c r="K19" s="130">
        <f t="shared" si="8"/>
        <v>0</v>
      </c>
      <c r="L19" s="46">
        <f t="shared" si="8"/>
        <v>0</v>
      </c>
      <c r="M19" s="180">
        <f t="shared" si="8"/>
        <v>0</v>
      </c>
      <c r="N19" s="130">
        <f t="shared" si="8"/>
        <v>0</v>
      </c>
      <c r="O19" s="46">
        <f t="shared" si="8"/>
        <v>0</v>
      </c>
      <c r="P19" s="180">
        <f t="shared" si="8"/>
        <v>0</v>
      </c>
      <c r="Q19" s="130">
        <f t="shared" si="8"/>
        <v>0</v>
      </c>
      <c r="R19" s="46">
        <f t="shared" si="8"/>
        <v>0</v>
      </c>
      <c r="S19" s="42">
        <f>SUM(S11:S18)</f>
        <v>0</v>
      </c>
      <c r="T19" s="6"/>
    </row>
    <row r="20" spans="1:18" ht="15.75">
      <c r="A20" s="21" t="s">
        <v>180</v>
      </c>
      <c r="B20" s="21" t="s">
        <v>181</v>
      </c>
      <c r="C20" s="1"/>
      <c r="D20" s="25"/>
      <c r="E20" s="26"/>
      <c r="F20" s="26"/>
      <c r="G20" s="1"/>
      <c r="H20" s="1"/>
      <c r="I20" s="1"/>
      <c r="J20" s="180"/>
      <c r="K20" s="130"/>
      <c r="L20" s="46"/>
      <c r="M20" s="42"/>
      <c r="N20" s="6"/>
      <c r="O20"/>
      <c r="Q20"/>
      <c r="R20"/>
    </row>
    <row r="21" spans="1:19" ht="15.75">
      <c r="A21" s="1"/>
      <c r="B21" s="1" t="s">
        <v>15</v>
      </c>
      <c r="C21" s="3"/>
      <c r="D21" s="115" t="s">
        <v>124</v>
      </c>
      <c r="E21" s="70">
        <v>0</v>
      </c>
      <c r="F21" s="89">
        <f>IF(D21="CAL",(52*E21/4.3333),(IF(D21="ACAD",(32*E21/4.33333),IF(D21="SUMR",(14*E21/4.33333),IF(D21="PT",(0),0)))))</f>
        <v>0</v>
      </c>
      <c r="G21" s="69">
        <v>0</v>
      </c>
      <c r="J21" s="161">
        <f>ROUND(G21*E21,0)</f>
        <v>0</v>
      </c>
      <c r="K21" s="129">
        <f>ROUND(J21*'RATES-Non Fed'!E40,0)</f>
        <v>0</v>
      </c>
      <c r="L21" s="67">
        <f>ROUND(K21+J21,0)</f>
        <v>0</v>
      </c>
      <c r="M21" s="161">
        <f>ROUND((J21*1.02),0)</f>
        <v>0</v>
      </c>
      <c r="N21" s="129">
        <f>ROUND(M21*'RATES-Non Fed'!G40,0)</f>
        <v>0</v>
      </c>
      <c r="O21" s="67">
        <f>ROUND(M21+N21,0)</f>
        <v>0</v>
      </c>
      <c r="P21" s="161">
        <f>ROUND((M21*1.02),0)</f>
        <v>0</v>
      </c>
      <c r="Q21" s="129">
        <f>ROUND(P21*'RATES-Non Fed'!I40,0)</f>
        <v>0</v>
      </c>
      <c r="R21" s="67">
        <f>ROUND(P21+Q21,0)</f>
        <v>0</v>
      </c>
      <c r="S21" s="42">
        <f>SUM(L21+O21+R21)</f>
        <v>0</v>
      </c>
    </row>
    <row r="22" spans="1:19" ht="15.75">
      <c r="A22" s="1"/>
      <c r="B22" s="1" t="s">
        <v>15</v>
      </c>
      <c r="C22" s="3"/>
      <c r="D22" s="115" t="s">
        <v>124</v>
      </c>
      <c r="E22" s="70">
        <v>0</v>
      </c>
      <c r="F22" s="89">
        <f>IF(D22="CAL",(52*E22/4.3333),(IF(D22="ACAD",(32*E22/4.33333),IF(D22="SUMR",(14*E22/4.33333),IF(D22="PT",(0),0)))))</f>
        <v>0</v>
      </c>
      <c r="G22" s="69">
        <v>0</v>
      </c>
      <c r="J22" s="161">
        <f>ROUND(G22*E22,0)</f>
        <v>0</v>
      </c>
      <c r="K22" s="129">
        <f>ROUND(J22*'RATES-Non Fed'!E40,0)</f>
        <v>0</v>
      </c>
      <c r="L22" s="67">
        <f>ROUND(K22+J22,0)</f>
        <v>0</v>
      </c>
      <c r="M22" s="161">
        <f>ROUND((J22*1.02),0)</f>
        <v>0</v>
      </c>
      <c r="N22" s="129">
        <f>ROUND(M22*'RATES-Non Fed'!G40,0)</f>
        <v>0</v>
      </c>
      <c r="O22" s="67">
        <f>ROUND(M22+N22,0)</f>
        <v>0</v>
      </c>
      <c r="P22" s="161">
        <f>ROUND((M22*1.02),0)</f>
        <v>0</v>
      </c>
      <c r="Q22" s="129">
        <f>ROUND(P22*'RATES-Non Fed'!I40,0)</f>
        <v>0</v>
      </c>
      <c r="R22" s="67">
        <f>ROUND(P22+Q22,0)</f>
        <v>0</v>
      </c>
      <c r="S22" s="42">
        <f>SUM(L22+O22+R22)</f>
        <v>0</v>
      </c>
    </row>
    <row r="23" spans="1:19" ht="15.75">
      <c r="A23" s="1"/>
      <c r="B23" s="1" t="s">
        <v>15</v>
      </c>
      <c r="C23" s="3"/>
      <c r="D23" s="115" t="s">
        <v>124</v>
      </c>
      <c r="E23" s="70">
        <v>0</v>
      </c>
      <c r="F23" s="89">
        <f>IF(D23="CAL",(52*E23/4.3333),(IF(D23="ACAD",(32*E23/4.33333),IF(D23="SUMR",(14*E23/4.33333),IF(D23="PT",(0),0)))))</f>
        <v>0</v>
      </c>
      <c r="G23" s="69">
        <v>0</v>
      </c>
      <c r="J23" s="161">
        <f>ROUND(G23*E23,0)</f>
        <v>0</v>
      </c>
      <c r="K23" s="129">
        <f>ROUND(J23*'RATES-Non Fed'!E40,0)</f>
        <v>0</v>
      </c>
      <c r="L23" s="67">
        <f>ROUND(K23+J23,0)</f>
        <v>0</v>
      </c>
      <c r="M23" s="161">
        <f>ROUND((J23*1.02),0)</f>
        <v>0</v>
      </c>
      <c r="N23" s="129">
        <f>ROUND(M23*'RATES-Non Fed'!G40,0)</f>
        <v>0</v>
      </c>
      <c r="O23" s="67">
        <f>ROUND(M23+N23,0)</f>
        <v>0</v>
      </c>
      <c r="P23" s="161">
        <f>ROUND((M23*1.02),0)</f>
        <v>0</v>
      </c>
      <c r="Q23" s="129">
        <f>ROUND(P23*'RATES-Non Fed'!I40,0)</f>
        <v>0</v>
      </c>
      <c r="R23" s="67">
        <f>ROUND(P23+Q23,0)</f>
        <v>0</v>
      </c>
      <c r="S23" s="42">
        <f>SUM(L23+O23+R23)</f>
        <v>0</v>
      </c>
    </row>
    <row r="24" spans="1:19" ht="15.75">
      <c r="A24" s="1"/>
      <c r="B24" s="1" t="s">
        <v>15</v>
      </c>
      <c r="C24" s="3"/>
      <c r="D24" s="115" t="s">
        <v>124</v>
      </c>
      <c r="E24" s="70">
        <v>0</v>
      </c>
      <c r="F24" s="89">
        <f>IF(D24="CAL",(52*E24/4.3333),(IF(D24="ACAD",(32*E24/4.33333),IF(D24="SUMR",(14*E24/4.33333),IF(D24="PT",(0),0)))))</f>
        <v>0</v>
      </c>
      <c r="G24" s="69">
        <v>0</v>
      </c>
      <c r="J24" s="161">
        <f>ROUND(G24*E24,0)</f>
        <v>0</v>
      </c>
      <c r="K24" s="181">
        <f>ROUND(J24*'RATES-Non Fed'!E40,0)</f>
        <v>0</v>
      </c>
      <c r="L24" s="182">
        <f>ROUND(K24+J24,0)</f>
        <v>0</v>
      </c>
      <c r="M24" s="176">
        <f>ROUND((J24*1.02),0)</f>
        <v>0</v>
      </c>
      <c r="N24" s="181">
        <f>ROUND(M24*'RATES-Non Fed'!G40,0)</f>
        <v>0</v>
      </c>
      <c r="O24" s="182">
        <f>ROUND(M24+N24,0)</f>
        <v>0</v>
      </c>
      <c r="P24" s="176">
        <f>ROUND((M24*1.02),0)</f>
        <v>0</v>
      </c>
      <c r="Q24" s="181">
        <f>ROUND(P24*'RATES-Non Fed'!I40,0)</f>
        <v>0</v>
      </c>
      <c r="R24" s="182">
        <f>ROUND(P24+Q24,0)</f>
        <v>0</v>
      </c>
      <c r="S24" s="179">
        <f>SUM(L24+O24+R24)</f>
        <v>0</v>
      </c>
    </row>
    <row r="25" spans="1:19" ht="15.75">
      <c r="A25" s="1"/>
      <c r="B25" s="1"/>
      <c r="C25" s="1"/>
      <c r="D25" s="25" t="s">
        <v>185</v>
      </c>
      <c r="E25" s="26"/>
      <c r="F25" s="26"/>
      <c r="G25" s="1"/>
      <c r="H25" s="1"/>
      <c r="I25" s="1"/>
      <c r="J25" s="165">
        <f aca="true" t="shared" si="9" ref="J25:S25">SUM(J21:J24)</f>
        <v>0</v>
      </c>
      <c r="K25" s="130">
        <f t="shared" si="9"/>
        <v>0</v>
      </c>
      <c r="L25" s="46">
        <f t="shared" si="9"/>
        <v>0</v>
      </c>
      <c r="M25" s="76">
        <f t="shared" si="9"/>
        <v>0</v>
      </c>
      <c r="N25" s="6">
        <f t="shared" si="9"/>
        <v>0</v>
      </c>
      <c r="O25" s="76">
        <f t="shared" si="9"/>
        <v>0</v>
      </c>
      <c r="P25" s="42">
        <f t="shared" si="9"/>
        <v>0</v>
      </c>
      <c r="Q25" s="42">
        <f t="shared" si="9"/>
        <v>0</v>
      </c>
      <c r="R25" s="76">
        <f t="shared" si="9"/>
        <v>0</v>
      </c>
      <c r="S25" s="42">
        <f t="shared" si="9"/>
        <v>0</v>
      </c>
    </row>
    <row r="26" spans="1:20" ht="7.5" customHeight="1">
      <c r="A26" s="1"/>
      <c r="B26" s="1"/>
      <c r="C26" s="1"/>
      <c r="D26" s="26"/>
      <c r="E26" s="26"/>
      <c r="F26" s="26"/>
      <c r="G26" s="1"/>
      <c r="H26" s="1"/>
      <c r="I26" s="1"/>
      <c r="J26" s="166"/>
      <c r="K26" s="130"/>
      <c r="L26" s="46"/>
      <c r="M26" s="160"/>
      <c r="N26" s="130"/>
      <c r="O26" s="46"/>
      <c r="P26" s="160"/>
      <c r="Q26" s="130"/>
      <c r="R26" s="46"/>
      <c r="S26" s="42"/>
      <c r="T26" s="6"/>
    </row>
    <row r="27" spans="1:20" ht="15.75">
      <c r="A27" s="22" t="s">
        <v>182</v>
      </c>
      <c r="B27" s="22" t="s">
        <v>17</v>
      </c>
      <c r="C27" s="1"/>
      <c r="D27" s="26"/>
      <c r="E27" s="1"/>
      <c r="F27" s="1"/>
      <c r="G27" s="41"/>
      <c r="H27" s="1"/>
      <c r="I27" s="1"/>
      <c r="J27" s="164"/>
      <c r="K27" s="126"/>
      <c r="L27" s="117"/>
      <c r="M27" s="164"/>
      <c r="N27" s="130"/>
      <c r="O27" s="46"/>
      <c r="P27" s="164"/>
      <c r="Q27" s="130"/>
      <c r="R27" s="46"/>
      <c r="S27" s="42"/>
      <c r="T27" s="6"/>
    </row>
    <row r="28" spans="1:20" ht="15.75">
      <c r="A28" s="1"/>
      <c r="C28" s="13" t="s">
        <v>87</v>
      </c>
      <c r="D28" s="41" t="s">
        <v>121</v>
      </c>
      <c r="E28" s="68"/>
      <c r="F28" s="68"/>
      <c r="G28" s="59"/>
      <c r="J28" s="161"/>
      <c r="K28" s="131"/>
      <c r="L28" s="50"/>
      <c r="M28" s="161"/>
      <c r="N28" s="141"/>
      <c r="O28" s="122"/>
      <c r="P28" s="161"/>
      <c r="Q28" s="141"/>
      <c r="R28" s="122"/>
      <c r="S28" s="42"/>
      <c r="T28" s="5"/>
    </row>
    <row r="29" spans="1:20" ht="15.75">
      <c r="A29" s="1"/>
      <c r="C29" s="13"/>
      <c r="D29" s="87"/>
      <c r="E29" s="70">
        <v>0</v>
      </c>
      <c r="F29" s="88">
        <f>SUM(52*E29/4.3333)</f>
        <v>0</v>
      </c>
      <c r="G29" s="69">
        <v>0</v>
      </c>
      <c r="J29" s="161">
        <f>ROUND(G29*E29,0)</f>
        <v>0</v>
      </c>
      <c r="K29" s="131">
        <f>ROUND(J29*'RATES-Non Fed'!E39,0)</f>
        <v>0</v>
      </c>
      <c r="L29" s="50">
        <f>SUM(J29:K29)</f>
        <v>0</v>
      </c>
      <c r="M29" s="161">
        <f>ROUND(J29*1.02,0)</f>
        <v>0</v>
      </c>
      <c r="N29" s="131">
        <f>ROUND(M29*'RATES-Non Fed'!G39,0)</f>
        <v>0</v>
      </c>
      <c r="O29" s="50">
        <f>SUM(M29:N29)</f>
        <v>0</v>
      </c>
      <c r="P29" s="161">
        <f>ROUND(M29*1.02,0)</f>
        <v>0</v>
      </c>
      <c r="Q29" s="131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 ht="15.75">
      <c r="A30" s="1"/>
      <c r="C30" s="13"/>
      <c r="D30" s="1"/>
      <c r="E30" s="70">
        <v>0</v>
      </c>
      <c r="F30" s="88">
        <f>SUM(52*E30/4.3333)</f>
        <v>0</v>
      </c>
      <c r="G30" s="69">
        <v>0</v>
      </c>
      <c r="J30" s="161">
        <f>ROUND(G30*E30,0)</f>
        <v>0</v>
      </c>
      <c r="K30" s="131">
        <f>ROUND(J30*'RATES-Non Fed'!E39,0)</f>
        <v>0</v>
      </c>
      <c r="L30" s="50">
        <f>SUM(J30:K30)</f>
        <v>0</v>
      </c>
      <c r="M30" s="161">
        <f>ROUND(J30*1.02,0)</f>
        <v>0</v>
      </c>
      <c r="N30" s="131">
        <f>ROUND(M30*'RATES-Non Fed'!G39,0)</f>
        <v>0</v>
      </c>
      <c r="O30" s="50">
        <f>SUM(M30:N30)</f>
        <v>0</v>
      </c>
      <c r="P30" s="161">
        <f>ROUND(M30*1.02,0)</f>
        <v>0</v>
      </c>
      <c r="Q30" s="131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ht="15.75">
      <c r="A31" s="1"/>
      <c r="C31" s="13"/>
      <c r="D31" s="1"/>
      <c r="E31" s="70">
        <v>0</v>
      </c>
      <c r="F31" s="88">
        <f>SUM(52*E31/4.3333)</f>
        <v>0</v>
      </c>
      <c r="G31" s="69">
        <v>0</v>
      </c>
      <c r="J31" s="176">
        <f>ROUND(G31*E31,0)</f>
        <v>0</v>
      </c>
      <c r="K31" s="177">
        <f>ROUND(J31*'RATES-Non Fed'!E39,0)</f>
        <v>0</v>
      </c>
      <c r="L31" s="178">
        <f>SUM(J31:K31)</f>
        <v>0</v>
      </c>
      <c r="M31" s="176">
        <f>ROUND(J31*1.02,0)</f>
        <v>0</v>
      </c>
      <c r="N31" s="177">
        <f>ROUND(M31*'RATES-Non Fed'!G39,0)</f>
        <v>0</v>
      </c>
      <c r="O31" s="178">
        <f>SUM(M31:N31)</f>
        <v>0</v>
      </c>
      <c r="P31" s="176">
        <f>ROUND(M31*1.02,0)</f>
        <v>0</v>
      </c>
      <c r="Q31" s="177">
        <f>ROUND(P31*'RATES-Non Fed'!I39,0)</f>
        <v>0</v>
      </c>
      <c r="R31" s="178">
        <f>SUM(P31:Q31)</f>
        <v>0</v>
      </c>
      <c r="S31" s="179">
        <f>SUM(L31+O31+R31)</f>
        <v>0</v>
      </c>
      <c r="T31" s="5"/>
    </row>
    <row r="32" spans="1:20" ht="15.75">
      <c r="A32" s="1"/>
      <c r="C32" s="13"/>
      <c r="D32" s="1" t="s">
        <v>122</v>
      </c>
      <c r="E32" s="70"/>
      <c r="F32" s="70"/>
      <c r="G32" s="69"/>
      <c r="J32" s="167">
        <f aca="true" t="shared" si="10" ref="J32:S32">SUM(J29:J31)</f>
        <v>0</v>
      </c>
      <c r="K32" s="131">
        <f t="shared" si="10"/>
        <v>0</v>
      </c>
      <c r="L32" s="50">
        <f t="shared" si="10"/>
        <v>0</v>
      </c>
      <c r="M32" s="167">
        <f t="shared" si="10"/>
        <v>0</v>
      </c>
      <c r="N32" s="141">
        <f t="shared" si="10"/>
        <v>0</v>
      </c>
      <c r="O32" s="122">
        <f t="shared" si="10"/>
        <v>0</v>
      </c>
      <c r="P32" s="167">
        <f t="shared" si="10"/>
        <v>0</v>
      </c>
      <c r="Q32" s="141">
        <f t="shared" si="10"/>
        <v>0</v>
      </c>
      <c r="R32" s="122">
        <f t="shared" si="10"/>
        <v>0</v>
      </c>
      <c r="S32" s="42">
        <f t="shared" si="10"/>
        <v>0</v>
      </c>
      <c r="T32" s="5"/>
    </row>
    <row r="33" spans="1:20" ht="9.75" customHeight="1">
      <c r="A33" s="1"/>
      <c r="C33" s="13"/>
      <c r="D33" s="1"/>
      <c r="E33" s="70"/>
      <c r="F33" s="70"/>
      <c r="G33" s="69"/>
      <c r="J33" s="167"/>
      <c r="K33" s="131"/>
      <c r="L33" s="50"/>
      <c r="M33" s="167"/>
      <c r="N33" s="141"/>
      <c r="O33" s="122"/>
      <c r="P33" s="167"/>
      <c r="Q33" s="141"/>
      <c r="R33" s="122"/>
      <c r="S33" s="42"/>
      <c r="T33" s="5"/>
    </row>
    <row r="34" spans="1:20" ht="15.75">
      <c r="A34" s="1"/>
      <c r="C34" s="13" t="s">
        <v>88</v>
      </c>
      <c r="D34" s="1"/>
      <c r="E34" s="70">
        <v>0</v>
      </c>
      <c r="F34" s="88">
        <f>SUM(52*E34/4.3333)</f>
        <v>0</v>
      </c>
      <c r="G34" s="69">
        <v>0</v>
      </c>
      <c r="J34" s="161">
        <f>ROUND(G34*E34,0)</f>
        <v>0</v>
      </c>
      <c r="K34" s="131">
        <f>ROUND(J34*'RATES-Non Fed'!E43,0)</f>
        <v>0</v>
      </c>
      <c r="L34" s="50">
        <f>SUM(J34:K34)</f>
        <v>0</v>
      </c>
      <c r="M34" s="161">
        <f>ROUND((J34*1.02),0)</f>
        <v>0</v>
      </c>
      <c r="N34" s="131">
        <f>ROUND(M34*'RATES-Non Fed'!G43,0)</f>
        <v>0</v>
      </c>
      <c r="O34" s="50">
        <f>SUM(M34:N34)</f>
        <v>0</v>
      </c>
      <c r="P34" s="161">
        <f>ROUND((M34*1.02),0)</f>
        <v>0</v>
      </c>
      <c r="Q34" s="131">
        <f>ROUND(P34*'RATES-Non Fed'!I43,0)</f>
        <v>0</v>
      </c>
      <c r="R34" s="50">
        <f>SUM(P34:Q34)</f>
        <v>0</v>
      </c>
      <c r="S34" s="42">
        <f>SUM(L34+O34+R34)</f>
        <v>0</v>
      </c>
      <c r="T34" s="5"/>
    </row>
    <row r="35" spans="1:20" ht="15.75">
      <c r="A35" s="1"/>
      <c r="C35" s="13" t="s">
        <v>18</v>
      </c>
      <c r="D35" s="1"/>
      <c r="E35" s="70">
        <v>0</v>
      </c>
      <c r="F35" s="88">
        <f>SUM(52*E35/4.3333)</f>
        <v>0</v>
      </c>
      <c r="G35" s="69">
        <v>0</v>
      </c>
      <c r="J35" s="161">
        <f>ROUND(G35*E35,0)</f>
        <v>0</v>
      </c>
      <c r="K35" s="131">
        <f>ROUND(J35*'RATES-Non Fed'!E42,0)</f>
        <v>0</v>
      </c>
      <c r="L35" s="50">
        <f>SUM(J35:K35)</f>
        <v>0</v>
      </c>
      <c r="M35" s="161">
        <f>ROUND((J35*1.02),0)</f>
        <v>0</v>
      </c>
      <c r="N35" s="131">
        <f>ROUND(M35*'RATES-Non Fed'!G42,0)</f>
        <v>0</v>
      </c>
      <c r="O35" s="50">
        <f>SUM(M35:N35)</f>
        <v>0</v>
      </c>
      <c r="P35" s="161">
        <f>ROUND((M35*1.02),0)</f>
        <v>0</v>
      </c>
      <c r="Q35" s="131">
        <f>ROUND(P35*'RATES-Non Fed'!I42,0)</f>
        <v>0</v>
      </c>
      <c r="R35" s="50">
        <f>SUM(P35:Q35)</f>
        <v>0</v>
      </c>
      <c r="S35" s="42">
        <f>SUM(L35+O35+R35)</f>
        <v>0</v>
      </c>
      <c r="T35" s="5"/>
    </row>
    <row r="36" spans="1:20" ht="15.75">
      <c r="A36" s="1"/>
      <c r="C36" s="13" t="s">
        <v>19</v>
      </c>
      <c r="D36" s="1"/>
      <c r="E36" s="70">
        <v>0</v>
      </c>
      <c r="F36" s="88">
        <f>SUM(52*E36/4.3333)</f>
        <v>0</v>
      </c>
      <c r="G36" s="69">
        <v>0</v>
      </c>
      <c r="J36" s="161">
        <f>ROUND(G36*E36,0)</f>
        <v>0</v>
      </c>
      <c r="K36" s="131">
        <f>ROUND(J36*'RATES-Non Fed'!E42,0)</f>
        <v>0</v>
      </c>
      <c r="L36" s="50">
        <f>SUM(J36:K36)</f>
        <v>0</v>
      </c>
      <c r="M36" s="161">
        <f>ROUND((J36*1.02),0)</f>
        <v>0</v>
      </c>
      <c r="N36" s="131">
        <f>ROUND(M36*'RATES-Non Fed'!G42,0)</f>
        <v>0</v>
      </c>
      <c r="O36" s="50">
        <f>SUM(M36:N36)</f>
        <v>0</v>
      </c>
      <c r="P36" s="161">
        <f>ROUND((M36*1.02),0)</f>
        <v>0</v>
      </c>
      <c r="Q36" s="131">
        <f>ROUND(P36*'RATES-Non Fed'!I42,0)</f>
        <v>0</v>
      </c>
      <c r="R36" s="50">
        <f>SUM(P36:Q36)</f>
        <v>0</v>
      </c>
      <c r="S36" s="42">
        <f>SUM(L36+O36+R36)</f>
        <v>0</v>
      </c>
      <c r="T36" s="5"/>
    </row>
    <row r="37" spans="1:20" s="84" customFormat="1" ht="15.75">
      <c r="A37" s="117"/>
      <c r="C37" s="116" t="s">
        <v>20</v>
      </c>
      <c r="D37" s="117"/>
      <c r="E37" s="70">
        <v>0</v>
      </c>
      <c r="F37" s="88">
        <f>SUM(52*E37/4.3333)</f>
        <v>0</v>
      </c>
      <c r="G37" s="69">
        <v>0</v>
      </c>
      <c r="J37" s="161">
        <f>ROUND(G37*E37,0)</f>
        <v>0</v>
      </c>
      <c r="K37" s="131">
        <f>ROUND(J37*'RATES-Non Fed'!E43,0)</f>
        <v>0</v>
      </c>
      <c r="L37" s="50">
        <f>SUM(J37:K37)</f>
        <v>0</v>
      </c>
      <c r="M37" s="161">
        <f>ROUND((J37*1.02),0)</f>
        <v>0</v>
      </c>
      <c r="N37" s="131">
        <f>ROUND(M37*'RATES-Non Fed'!G43,0)</f>
        <v>0</v>
      </c>
      <c r="O37" s="50">
        <f>SUM(M37:N37)</f>
        <v>0</v>
      </c>
      <c r="P37" s="161">
        <f>ROUND((M37*1.02),0)</f>
        <v>0</v>
      </c>
      <c r="Q37" s="131">
        <f>ROUND(P37*'RATES-Non Fed'!I43,0)</f>
        <v>0</v>
      </c>
      <c r="R37" s="50">
        <f>SUM(P37:Q37)</f>
        <v>0</v>
      </c>
      <c r="S37" s="42">
        <f>SUM(L37+O37+R37)</f>
        <v>0</v>
      </c>
      <c r="T37" s="124"/>
    </row>
    <row r="38" spans="1:20" s="84" customFormat="1" ht="15.75">
      <c r="A38" s="117"/>
      <c r="C38" s="116" t="s">
        <v>89</v>
      </c>
      <c r="D38" s="117"/>
      <c r="E38" s="70">
        <v>0</v>
      </c>
      <c r="F38" s="88">
        <f>SUM(52*E38/4.3333)</f>
        <v>0</v>
      </c>
      <c r="G38" s="69">
        <v>0</v>
      </c>
      <c r="J38" s="176">
        <f>ROUND(G38*E38,0)</f>
        <v>0</v>
      </c>
      <c r="K38" s="177">
        <f>ROUND(J38*'RATES-Non Fed'!E41,0)</f>
        <v>0</v>
      </c>
      <c r="L38" s="178">
        <f>SUM(J38:K38)</f>
        <v>0</v>
      </c>
      <c r="M38" s="176">
        <f>ROUND((J38*1.02),0)</f>
        <v>0</v>
      </c>
      <c r="N38" s="184">
        <f>ROUND(M38*'RATES-Non Fed'!G41,0)</f>
        <v>0</v>
      </c>
      <c r="O38" s="178">
        <f>SUM(M38:N38)</f>
        <v>0</v>
      </c>
      <c r="P38" s="176">
        <f>ROUND((M38*1.02),0)</f>
        <v>0</v>
      </c>
      <c r="Q38" s="184">
        <f>ROUND(P38*'RATES-Non Fed'!I41,0)</f>
        <v>0</v>
      </c>
      <c r="R38" s="178">
        <f>SUM(P38:Q38)</f>
        <v>0</v>
      </c>
      <c r="S38" s="179">
        <f>SUM(L38+O38+R38)</f>
        <v>0</v>
      </c>
      <c r="T38" s="124"/>
    </row>
    <row r="39" spans="1:20" ht="15.75">
      <c r="A39" s="1"/>
      <c r="B39" s="1"/>
      <c r="C39" s="1"/>
      <c r="D39" s="162" t="s">
        <v>152</v>
      </c>
      <c r="E39" s="26"/>
      <c r="F39" s="26"/>
      <c r="G39" s="1"/>
      <c r="H39" s="1"/>
      <c r="I39" s="1"/>
      <c r="J39" s="183">
        <f aca="true" t="shared" si="11" ref="J39:R39">SUM(J19+J25+J32+J34+J35+J36+J37+J38)</f>
        <v>0</v>
      </c>
      <c r="K39" s="131">
        <f t="shared" si="11"/>
        <v>0</v>
      </c>
      <c r="L39" s="50">
        <f t="shared" si="11"/>
        <v>0</v>
      </c>
      <c r="M39" s="183">
        <f t="shared" si="11"/>
        <v>0</v>
      </c>
      <c r="N39" s="131">
        <f t="shared" si="11"/>
        <v>0</v>
      </c>
      <c r="O39" s="50">
        <f t="shared" si="11"/>
        <v>0</v>
      </c>
      <c r="P39" s="183">
        <f t="shared" si="11"/>
        <v>0</v>
      </c>
      <c r="Q39" s="131">
        <f t="shared" si="11"/>
        <v>0</v>
      </c>
      <c r="R39" s="50">
        <f t="shared" si="11"/>
        <v>0</v>
      </c>
      <c r="S39" s="42">
        <f>SUM(S34:S38)</f>
        <v>0</v>
      </c>
      <c r="T39" s="5"/>
    </row>
    <row r="40" spans="1:20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30"/>
      <c r="L40" s="150"/>
      <c r="M40" s="64"/>
      <c r="P40" s="64"/>
      <c r="Q40" s="130"/>
      <c r="R40" s="46"/>
      <c r="S40" s="64" t="s">
        <v>1</v>
      </c>
      <c r="T40" s="6"/>
    </row>
    <row r="41" spans="1:20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32"/>
      <c r="L41" s="152"/>
      <c r="M41" s="47">
        <f>SUM(M39+N39)</f>
        <v>0</v>
      </c>
      <c r="N41" s="132"/>
      <c r="O41" s="118"/>
      <c r="P41" s="47">
        <f>SUM(P39+Q39)</f>
        <v>0</v>
      </c>
      <c r="Q41" s="132"/>
      <c r="R41" s="118"/>
      <c r="S41" s="47">
        <f>SUM(J41+M41+P41)</f>
        <v>0</v>
      </c>
      <c r="T41" s="29"/>
    </row>
    <row r="42" spans="1:20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30"/>
      <c r="L42" s="150"/>
      <c r="M42" s="46"/>
      <c r="N42" s="130"/>
      <c r="O42" s="46"/>
      <c r="P42" s="46"/>
      <c r="Q42" s="130"/>
      <c r="R42" s="46"/>
      <c r="S42" s="46" t="s">
        <v>1</v>
      </c>
      <c r="T42" s="6"/>
    </row>
    <row r="43" spans="1:20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30"/>
      <c r="L43" s="150"/>
      <c r="M43" s="50"/>
      <c r="N43" s="130"/>
      <c r="O43" s="46"/>
      <c r="P43" s="50"/>
      <c r="Q43" s="130"/>
      <c r="R43" s="46"/>
      <c r="S43" s="50" t="s">
        <v>1</v>
      </c>
      <c r="T43" s="6"/>
    </row>
    <row r="44" spans="1:20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30"/>
      <c r="L44" s="150"/>
      <c r="M44" s="42">
        <v>0</v>
      </c>
      <c r="N44" s="131"/>
      <c r="O44" s="50"/>
      <c r="P44" s="42">
        <v>0</v>
      </c>
      <c r="Q44" s="131"/>
      <c r="R44" s="50"/>
      <c r="S44" s="42">
        <f>SUM(J44:R44)</f>
        <v>0</v>
      </c>
      <c r="T44" s="6"/>
    </row>
    <row r="45" spans="1:20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30"/>
      <c r="L45" s="150"/>
      <c r="M45" s="42">
        <v>0</v>
      </c>
      <c r="N45" s="131"/>
      <c r="O45" s="50"/>
      <c r="P45" s="42">
        <v>0</v>
      </c>
      <c r="Q45" s="131"/>
      <c r="R45" s="50"/>
      <c r="S45" s="42">
        <f>SUM(J45:R45)</f>
        <v>0</v>
      </c>
      <c r="T45" s="6"/>
    </row>
    <row r="46" spans="1:20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33"/>
      <c r="L46" s="153"/>
      <c r="M46" s="53">
        <f>SUM(M44:M45)</f>
        <v>0</v>
      </c>
      <c r="N46" s="133"/>
      <c r="O46" s="48"/>
      <c r="P46" s="53">
        <f>SUM(P44:P45)</f>
        <v>0</v>
      </c>
      <c r="Q46" s="133"/>
      <c r="R46" s="48"/>
      <c r="S46" s="53">
        <f>SUM(J46:R46)</f>
        <v>0</v>
      </c>
      <c r="T46" s="29"/>
    </row>
    <row r="47" spans="1:20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30"/>
      <c r="L47" s="150"/>
      <c r="M47" s="46"/>
      <c r="N47" s="130"/>
      <c r="O47" s="46"/>
      <c r="P47" s="46"/>
      <c r="Q47" s="130"/>
      <c r="R47" s="46"/>
      <c r="S47" s="46"/>
      <c r="T47" s="6"/>
    </row>
    <row r="48" spans="1:20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31"/>
      <c r="L48" s="151"/>
      <c r="M48" s="45" t="s">
        <v>1</v>
      </c>
      <c r="N48" s="131"/>
      <c r="O48" s="50"/>
      <c r="P48" s="45" t="s">
        <v>1</v>
      </c>
      <c r="Q48" s="131"/>
      <c r="R48" s="50"/>
      <c r="S48" s="45"/>
      <c r="T48" s="5"/>
    </row>
    <row r="49" spans="1:20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31"/>
      <c r="L49" s="151"/>
      <c r="M49" s="42">
        <f>ROUND((J49*1.02),0)</f>
        <v>0</v>
      </c>
      <c r="N49" s="141"/>
      <c r="O49" s="122"/>
      <c r="P49" s="42">
        <f>ROUND((M49*1.02),0)</f>
        <v>0</v>
      </c>
      <c r="Q49" s="141"/>
      <c r="R49" s="122"/>
      <c r="S49" s="42">
        <f>SUM(J49:R49)</f>
        <v>0</v>
      </c>
      <c r="T49" s="5"/>
    </row>
    <row r="50" spans="1:20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31"/>
      <c r="L50" s="151"/>
      <c r="M50" s="42">
        <f>ROUND((J50*1.02),0)</f>
        <v>0</v>
      </c>
      <c r="N50" s="141"/>
      <c r="O50" s="122"/>
      <c r="P50" s="42">
        <f>ROUND((M50*1.02),0)</f>
        <v>0</v>
      </c>
      <c r="Q50" s="141"/>
      <c r="R50" s="122"/>
      <c r="S50" s="42">
        <f>SUM(J50:R50)</f>
        <v>0</v>
      </c>
      <c r="T50" s="5"/>
    </row>
    <row r="51" spans="1:20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33"/>
      <c r="L51" s="153"/>
      <c r="M51" s="55">
        <f>SUM(M49:M50)</f>
        <v>0</v>
      </c>
      <c r="N51" s="133"/>
      <c r="O51" s="48"/>
      <c r="P51" s="55">
        <f>SUM(P49:P50)</f>
        <v>0</v>
      </c>
      <c r="Q51" s="133"/>
      <c r="R51" s="48"/>
      <c r="S51" s="55">
        <f>SUM(J51:R51)</f>
        <v>0</v>
      </c>
      <c r="T51" s="29"/>
    </row>
    <row r="52" spans="1:20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30"/>
      <c r="L52" s="150"/>
      <c r="M52" s="42"/>
      <c r="N52" s="130"/>
      <c r="O52" s="46"/>
      <c r="P52" s="42"/>
      <c r="Q52" s="130"/>
      <c r="R52" s="46"/>
      <c r="S52" s="42"/>
      <c r="T52" s="6"/>
    </row>
    <row r="53" spans="1:20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31"/>
      <c r="L53" s="151"/>
      <c r="M53" s="42" t="s">
        <v>1</v>
      </c>
      <c r="N53" s="131"/>
      <c r="O53" s="50"/>
      <c r="P53" s="42" t="s">
        <v>1</v>
      </c>
      <c r="Q53" s="131"/>
      <c r="R53" s="50"/>
      <c r="S53" s="42"/>
      <c r="T53" s="5"/>
    </row>
    <row r="54" spans="1:20" ht="15.75">
      <c r="A54" s="21"/>
      <c r="B54" s="21"/>
      <c r="C54" s="13" t="s">
        <v>35</v>
      </c>
      <c r="D54" s="3"/>
      <c r="E54" s="31"/>
      <c r="F54" s="31"/>
      <c r="J54" s="42">
        <v>0</v>
      </c>
      <c r="K54" s="131"/>
      <c r="L54" s="151"/>
      <c r="M54" s="42">
        <f>ROUND((J54*1.02),0)</f>
        <v>0</v>
      </c>
      <c r="N54" s="141"/>
      <c r="O54" s="122"/>
      <c r="P54" s="42">
        <f>ROUND((M54*1.02),0)</f>
        <v>0</v>
      </c>
      <c r="Q54" s="141"/>
      <c r="R54" s="122"/>
      <c r="S54" s="42">
        <f aca="true" t="shared" si="12" ref="S54:S65">SUM(J54:R54)</f>
        <v>0</v>
      </c>
      <c r="T54" s="5"/>
    </row>
    <row r="55" spans="1:20" ht="15.75">
      <c r="A55" s="21"/>
      <c r="B55" s="21"/>
      <c r="C55" s="13" t="s">
        <v>36</v>
      </c>
      <c r="D55" s="3"/>
      <c r="E55" s="31"/>
      <c r="F55" s="31"/>
      <c r="J55" s="42">
        <v>0</v>
      </c>
      <c r="K55" s="131"/>
      <c r="L55" s="151"/>
      <c r="M55" s="42">
        <f aca="true" t="shared" si="13" ref="M55:M60">ROUND((J55*1.02),0)</f>
        <v>0</v>
      </c>
      <c r="N55" s="141"/>
      <c r="O55" s="122"/>
      <c r="P55" s="42">
        <f aca="true" t="shared" si="14" ref="P55:P60">ROUND((M55*1.02),0)</f>
        <v>0</v>
      </c>
      <c r="Q55" s="141"/>
      <c r="R55" s="122"/>
      <c r="S55" s="42">
        <f t="shared" si="12"/>
        <v>0</v>
      </c>
      <c r="T55" s="5"/>
    </row>
    <row r="56" spans="1:20" ht="15.75">
      <c r="A56" s="21"/>
      <c r="B56" s="21"/>
      <c r="C56" s="13" t="s">
        <v>37</v>
      </c>
      <c r="D56" s="3"/>
      <c r="E56" s="31"/>
      <c r="F56" s="31"/>
      <c r="J56" s="42">
        <v>0</v>
      </c>
      <c r="K56" s="131"/>
      <c r="L56" s="151"/>
      <c r="M56" s="42">
        <f t="shared" si="13"/>
        <v>0</v>
      </c>
      <c r="N56" s="141"/>
      <c r="O56" s="122"/>
      <c r="P56" s="42">
        <f t="shared" si="14"/>
        <v>0</v>
      </c>
      <c r="Q56" s="142"/>
      <c r="R56" s="42"/>
      <c r="S56" s="42">
        <f t="shared" si="12"/>
        <v>0</v>
      </c>
      <c r="T56" s="5"/>
    </row>
    <row r="57" spans="1:20" ht="15.75">
      <c r="A57" s="21"/>
      <c r="B57" s="21"/>
      <c r="C57" s="13" t="s">
        <v>38</v>
      </c>
      <c r="D57" s="3"/>
      <c r="E57" s="31"/>
      <c r="F57" s="31"/>
      <c r="J57" s="42">
        <v>0</v>
      </c>
      <c r="K57" s="131"/>
      <c r="L57" s="151"/>
      <c r="M57" s="42">
        <f t="shared" si="13"/>
        <v>0</v>
      </c>
      <c r="N57" s="141"/>
      <c r="O57" s="122"/>
      <c r="P57" s="42">
        <f t="shared" si="14"/>
        <v>0</v>
      </c>
      <c r="Q57" s="141"/>
      <c r="R57" s="122"/>
      <c r="S57" s="42">
        <f t="shared" si="12"/>
        <v>0</v>
      </c>
      <c r="T57" s="5"/>
    </row>
    <row r="58" spans="1:20" ht="15.75">
      <c r="A58" s="21"/>
      <c r="B58" s="21"/>
      <c r="C58" s="193" t="s">
        <v>102</v>
      </c>
      <c r="D58" s="3"/>
      <c r="E58" s="31"/>
      <c r="F58" s="31"/>
      <c r="J58" s="42">
        <v>0</v>
      </c>
      <c r="K58" s="131"/>
      <c r="L58" s="151"/>
      <c r="M58" s="42">
        <f t="shared" si="13"/>
        <v>0</v>
      </c>
      <c r="N58" s="141"/>
      <c r="O58" s="122"/>
      <c r="P58" s="42">
        <f t="shared" si="14"/>
        <v>0</v>
      </c>
      <c r="Q58" s="141"/>
      <c r="R58" s="122"/>
      <c r="S58" s="42">
        <f t="shared" si="12"/>
        <v>0</v>
      </c>
      <c r="T58" s="5"/>
    </row>
    <row r="59" spans="1:20" ht="15.75">
      <c r="A59" s="21"/>
      <c r="B59" s="21"/>
      <c r="C59" s="13" t="s">
        <v>188</v>
      </c>
      <c r="D59" s="3"/>
      <c r="E59" s="31"/>
      <c r="F59" s="31"/>
      <c r="J59" s="42">
        <v>0</v>
      </c>
      <c r="K59" s="131"/>
      <c r="L59" s="151"/>
      <c r="M59" s="42">
        <f t="shared" si="13"/>
        <v>0</v>
      </c>
      <c r="N59" s="142"/>
      <c r="O59" s="42"/>
      <c r="P59" s="42">
        <f t="shared" si="14"/>
        <v>0</v>
      </c>
      <c r="Q59" s="142"/>
      <c r="R59" s="42"/>
      <c r="S59" s="42">
        <f t="shared" si="12"/>
        <v>0</v>
      </c>
      <c r="T59" s="5"/>
    </row>
    <row r="60" spans="1:20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31"/>
      <c r="L60" s="151"/>
      <c r="M60" s="42">
        <f t="shared" si="13"/>
        <v>0</v>
      </c>
      <c r="N60" s="142"/>
      <c r="O60" s="42"/>
      <c r="P60" s="42">
        <f t="shared" si="14"/>
        <v>0</v>
      </c>
      <c r="Q60" s="142"/>
      <c r="R60" s="42"/>
      <c r="S60" s="42">
        <f t="shared" si="12"/>
        <v>0</v>
      </c>
      <c r="T60" s="5"/>
    </row>
    <row r="61" spans="1:21" ht="15.75">
      <c r="A61" s="21"/>
      <c r="B61" s="21"/>
      <c r="C61" s="22" t="s">
        <v>40</v>
      </c>
      <c r="D61" s="10"/>
      <c r="E61" s="31"/>
      <c r="F61" s="31"/>
      <c r="J61" s="42">
        <v>0</v>
      </c>
      <c r="K61" s="131"/>
      <c r="L61" s="151"/>
      <c r="M61" s="42">
        <v>0</v>
      </c>
      <c r="N61" s="141"/>
      <c r="O61" s="122"/>
      <c r="P61" s="42">
        <v>0</v>
      </c>
      <c r="Q61" s="141"/>
      <c r="R61" s="122"/>
      <c r="S61" s="42">
        <f t="shared" si="12"/>
        <v>0</v>
      </c>
      <c r="T61" s="5"/>
      <c r="U61" s="76"/>
    </row>
    <row r="62" spans="1:21" ht="15.75">
      <c r="A62" s="21"/>
      <c r="B62" s="21"/>
      <c r="C62" s="63" t="s">
        <v>41</v>
      </c>
      <c r="D62" s="10"/>
      <c r="E62" s="31"/>
      <c r="F62" s="31"/>
      <c r="J62" s="42">
        <v>0</v>
      </c>
      <c r="K62" s="131"/>
      <c r="L62" s="151"/>
      <c r="M62" s="42">
        <v>0</v>
      </c>
      <c r="N62" s="141"/>
      <c r="O62" s="122"/>
      <c r="P62" s="42">
        <v>0</v>
      </c>
      <c r="Q62" s="141"/>
      <c r="R62" s="122"/>
      <c r="S62" s="42">
        <f t="shared" si="12"/>
        <v>0</v>
      </c>
      <c r="T62" s="5"/>
      <c r="U62" s="76"/>
    </row>
    <row r="63" spans="1:21" ht="15.75">
      <c r="A63" s="21"/>
      <c r="B63" s="21"/>
      <c r="C63" s="63" t="s">
        <v>94</v>
      </c>
      <c r="D63" s="10"/>
      <c r="E63" s="31"/>
      <c r="F63" s="31"/>
      <c r="J63" s="42">
        <v>0</v>
      </c>
      <c r="K63" s="131"/>
      <c r="L63" s="151"/>
      <c r="M63" s="42">
        <v>0</v>
      </c>
      <c r="N63" s="141"/>
      <c r="O63" s="122"/>
      <c r="P63" s="42">
        <v>0</v>
      </c>
      <c r="Q63" s="141"/>
      <c r="R63" s="122"/>
      <c r="S63" s="42">
        <f t="shared" si="12"/>
        <v>0</v>
      </c>
      <c r="T63" s="5"/>
      <c r="U63" s="76"/>
    </row>
    <row r="64" spans="1:21" ht="15">
      <c r="A64" s="21"/>
      <c r="B64" s="21"/>
      <c r="C64" s="63" t="s">
        <v>95</v>
      </c>
      <c r="D64" s="10"/>
      <c r="E64" s="31"/>
      <c r="F64" s="31"/>
      <c r="J64" s="42">
        <v>0</v>
      </c>
      <c r="K64" s="131"/>
      <c r="L64" s="151"/>
      <c r="M64" s="42">
        <v>0</v>
      </c>
      <c r="N64" s="141"/>
      <c r="O64" s="122"/>
      <c r="P64" s="42">
        <v>0</v>
      </c>
      <c r="Q64" s="141"/>
      <c r="R64" s="122"/>
      <c r="S64" s="42">
        <f t="shared" si="12"/>
        <v>0</v>
      </c>
      <c r="T64" s="5"/>
      <c r="U64" s="76"/>
    </row>
    <row r="65" spans="1:21" ht="1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34"/>
      <c r="L65" s="154"/>
      <c r="M65" s="43">
        <f>SUM(M54:M64)</f>
        <v>0</v>
      </c>
      <c r="N65" s="134"/>
      <c r="O65" s="44"/>
      <c r="P65" s="43">
        <f>SUM(P54:P64)</f>
        <v>0</v>
      </c>
      <c r="Q65" s="134"/>
      <c r="R65" s="44"/>
      <c r="S65" s="43">
        <f t="shared" si="12"/>
        <v>0</v>
      </c>
      <c r="T65" s="34"/>
      <c r="U65" s="76"/>
    </row>
    <row r="66" spans="1:20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30"/>
      <c r="L66" s="150"/>
      <c r="M66" s="46"/>
      <c r="N66" s="130"/>
      <c r="O66" s="46"/>
      <c r="P66" s="46"/>
      <c r="Q66" s="130"/>
      <c r="R66" s="46"/>
      <c r="S66" s="46" t="s">
        <v>1</v>
      </c>
      <c r="T66" s="6"/>
    </row>
    <row r="67" spans="1:20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35"/>
      <c r="L67" s="155"/>
      <c r="M67" s="65">
        <f>ROUND(+M65+M51+M46+M41,0)</f>
        <v>0</v>
      </c>
      <c r="N67" s="135"/>
      <c r="O67" s="65"/>
      <c r="P67" s="65">
        <f>ROUND(+P65+P51+P46+P41,0)</f>
        <v>0</v>
      </c>
      <c r="Q67" s="135"/>
      <c r="R67" s="65"/>
      <c r="S67" s="65">
        <f>SUM(J67:R67)</f>
        <v>0</v>
      </c>
      <c r="T67" s="34"/>
    </row>
    <row r="68" spans="1:19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35"/>
      <c r="L68" s="155"/>
      <c r="M68" s="65"/>
      <c r="N68" s="143"/>
      <c r="O68" s="170"/>
      <c r="P68" s="65"/>
      <c r="Q68" s="143"/>
      <c r="R68" s="170"/>
      <c r="S68" s="65"/>
    </row>
    <row r="69" spans="1:21" ht="15">
      <c r="A69" s="28"/>
      <c r="B69" s="28"/>
      <c r="C69" s="28"/>
      <c r="D69" s="21"/>
      <c r="G69" s="39"/>
      <c r="H69" s="86" t="s">
        <v>117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36"/>
      <c r="L69" s="156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36"/>
      <c r="O69" s="171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64)</f>
        <v>0</v>
      </c>
      <c r="Q69" s="136"/>
      <c r="R69" s="171"/>
      <c r="S69" s="74">
        <f>SUM(J69:R69)</f>
        <v>0</v>
      </c>
      <c r="U69" s="76"/>
    </row>
    <row r="70" spans="1:22" ht="15">
      <c r="A70" s="33" t="s">
        <v>116</v>
      </c>
      <c r="B70" s="1"/>
      <c r="C70" s="1"/>
      <c r="J70" s="42"/>
      <c r="K70" s="137"/>
      <c r="L70" s="157"/>
      <c r="M70" s="50"/>
      <c r="N70" s="137"/>
      <c r="O70" s="56"/>
      <c r="P70" s="50"/>
      <c r="Q70" s="137"/>
      <c r="R70" s="56"/>
      <c r="S70" s="50"/>
      <c r="T70" s="5"/>
      <c r="V70" s="75"/>
    </row>
    <row r="71" spans="1:20" ht="15">
      <c r="A71" s="13" t="s">
        <v>119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0.6175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0.62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0.62</v>
      </c>
      <c r="G71" s="7"/>
      <c r="H71" s="7"/>
      <c r="J71" s="50">
        <f>ROUND(+D71*(J67-J46-J61-J62-J63-J64-J58-J59),0)</f>
        <v>0</v>
      </c>
      <c r="K71" s="131"/>
      <c r="L71" s="151"/>
      <c r="M71" s="50">
        <f>ROUND(+E71*(M67-M46-M61-M62-M63-M64-M58-M59),0)</f>
        <v>0</v>
      </c>
      <c r="N71" s="131"/>
      <c r="O71" s="50"/>
      <c r="P71" s="50">
        <f>ROUND(+F71*(P67-P46-P61-P62-P63-P64-P58-P59),0)</f>
        <v>0</v>
      </c>
      <c r="Q71" s="131"/>
      <c r="R71" s="50"/>
      <c r="S71" s="50">
        <f aca="true" t="shared" si="15" ref="S71:S76">SUM(J71:R71)</f>
        <v>0</v>
      </c>
      <c r="T71" s="5"/>
    </row>
    <row r="72" spans="1:20" ht="15">
      <c r="A72" s="13" t="s">
        <v>44</v>
      </c>
      <c r="D72" s="7">
        <f aca="true" t="shared" si="16" ref="D72:F74">+D71</f>
        <v>0.6175</v>
      </c>
      <c r="E72" s="7">
        <f t="shared" si="16"/>
        <v>0.62</v>
      </c>
      <c r="F72" s="7">
        <f t="shared" si="16"/>
        <v>0.62</v>
      </c>
      <c r="G72" s="7"/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98"/>
      <c r="O72" s="50"/>
      <c r="P72" s="50">
        <f>IF(J61&gt;=(25000),0,(((IF((J61+M61)&gt;=(25000),0,((IF((J61+M61+P61)&lt;=(25000),P61,(25000-SUM(J61+M61)))))))))*F72)</f>
        <v>0</v>
      </c>
      <c r="Q72" s="131"/>
      <c r="R72" s="50"/>
      <c r="S72" s="50">
        <f t="shared" si="15"/>
        <v>0</v>
      </c>
      <c r="T72" s="5"/>
    </row>
    <row r="73" spans="1:20" ht="15">
      <c r="A73" s="13" t="s">
        <v>45</v>
      </c>
      <c r="D73" s="7">
        <f t="shared" si="16"/>
        <v>0.6175</v>
      </c>
      <c r="E73" s="7">
        <f t="shared" si="16"/>
        <v>0.62</v>
      </c>
      <c r="F73" s="7">
        <f t="shared" si="16"/>
        <v>0.62</v>
      </c>
      <c r="G73" s="7"/>
      <c r="H73" s="7"/>
      <c r="J73" s="50">
        <f>(IF((J62)&gt;25000,(25000),J62)*D73)</f>
        <v>0</v>
      </c>
      <c r="K73" s="198"/>
      <c r="L73" s="151"/>
      <c r="M73" s="50">
        <f>IF(J62&gt;=(25000),0,((IF((J62+M62)&lt;=(25000),M62,(25000-J62))))*E73)</f>
        <v>0</v>
      </c>
      <c r="N73" s="198"/>
      <c r="O73" s="50"/>
      <c r="P73" s="50">
        <f>IF(J62&gt;=(25000),0,(((IF((J62+M62)&gt;=(25000),0,((IF((J62+M62+P62)&lt;=(25000),P62,(25000-SUM(J62+M62)))))))))*F73)</f>
        <v>0</v>
      </c>
      <c r="Q73" s="131"/>
      <c r="R73" s="50"/>
      <c r="S73" s="50">
        <f>SUM(J73:R73)</f>
        <v>0</v>
      </c>
      <c r="T73" s="5"/>
    </row>
    <row r="74" spans="1:20" ht="15">
      <c r="A74" s="13" t="s">
        <v>92</v>
      </c>
      <c r="D74" s="7">
        <f t="shared" si="16"/>
        <v>0.6175</v>
      </c>
      <c r="E74" s="7">
        <f t="shared" si="16"/>
        <v>0.62</v>
      </c>
      <c r="F74" s="7">
        <f t="shared" si="16"/>
        <v>0.62</v>
      </c>
      <c r="G74" s="7"/>
      <c r="H74" s="7"/>
      <c r="J74" s="50">
        <f>(IF((J63)&gt;25000,(25000),J63)*D74)</f>
        <v>0</v>
      </c>
      <c r="K74" s="198"/>
      <c r="L74" s="151"/>
      <c r="M74" s="50">
        <f>IF(J63&gt;=(25000),0,((IF((J63+M63)&lt;=(25000),M63,(25000-J63))))*E74)</f>
        <v>0</v>
      </c>
      <c r="N74" s="198"/>
      <c r="O74" s="50"/>
      <c r="P74" s="50">
        <f>IF(J63&gt;=(25000),0,(((IF((J63+M63)&gt;=(25000),0,((IF((J63+M63+P63)&lt;=(25000),P63,(25000-SUM(J63+M63)))))))))*F74)</f>
        <v>0</v>
      </c>
      <c r="Q74" s="131"/>
      <c r="R74" s="50"/>
      <c r="S74" s="50">
        <f t="shared" si="15"/>
        <v>0</v>
      </c>
      <c r="T74" s="5"/>
    </row>
    <row r="75" spans="1:20" ht="15">
      <c r="A75" s="13" t="s">
        <v>93</v>
      </c>
      <c r="B75" s="1"/>
      <c r="C75" s="1"/>
      <c r="D75" s="7">
        <f>+D72</f>
        <v>0.6175</v>
      </c>
      <c r="E75" s="7">
        <f>+E72</f>
        <v>0.62</v>
      </c>
      <c r="F75" s="7">
        <f>+F72</f>
        <v>0.62</v>
      </c>
      <c r="G75" s="7"/>
      <c r="H75" s="7"/>
      <c r="J75" s="50">
        <f>(IF((J64)&gt;25000,(25000),J64)*D75)</f>
        <v>0</v>
      </c>
      <c r="K75" s="198"/>
      <c r="L75" s="151"/>
      <c r="M75" s="50">
        <f>IF(J64&gt;=(25000),0,((IF((J64+M64)&lt;=(25000),M64,(25000-J64))))*E75)</f>
        <v>0</v>
      </c>
      <c r="N75" s="198"/>
      <c r="O75" s="50"/>
      <c r="P75" s="50">
        <f>IF(J64&gt;=(25000),0,(((IF((J64+M64)&gt;=(25000),0,((IF((J64+M64+P64)&lt;=(25000),P64,(25000-SUM(J64+M64)))))))))*F75)</f>
        <v>0</v>
      </c>
      <c r="Q75" s="131"/>
      <c r="R75" s="50"/>
      <c r="S75" s="50">
        <f t="shared" si="15"/>
        <v>0</v>
      </c>
      <c r="T75" s="5"/>
    </row>
    <row r="76" spans="1:20" ht="15">
      <c r="A76" s="40" t="s">
        <v>118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34"/>
      <c r="L76" s="154"/>
      <c r="M76" s="53">
        <f>SUM(M71:M75)</f>
        <v>0</v>
      </c>
      <c r="N76" s="134"/>
      <c r="O76" s="44"/>
      <c r="P76" s="53">
        <f>SUM(P71:P75)</f>
        <v>0</v>
      </c>
      <c r="Q76" s="134"/>
      <c r="R76" s="44"/>
      <c r="S76" s="53">
        <f t="shared" si="15"/>
        <v>0</v>
      </c>
      <c r="T76" s="5"/>
    </row>
    <row r="77" spans="1:20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34"/>
      <c r="L77" s="154"/>
      <c r="M77" s="62"/>
      <c r="N77" s="134"/>
      <c r="O77" s="44"/>
      <c r="P77" s="62"/>
      <c r="Q77" s="134"/>
      <c r="R77" s="44"/>
      <c r="S77" s="62"/>
      <c r="T77" s="5"/>
    </row>
    <row r="78" spans="1:20" ht="18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35"/>
      <c r="L78" s="155"/>
      <c r="M78" s="72">
        <f>M76+M67</f>
        <v>0</v>
      </c>
      <c r="N78" s="135"/>
      <c r="O78" s="65"/>
      <c r="P78" s="72">
        <f>P76+P67</f>
        <v>0</v>
      </c>
      <c r="Q78" s="135"/>
      <c r="R78" s="65"/>
      <c r="S78" s="72">
        <f>SUM(J78:R78)</f>
        <v>0</v>
      </c>
      <c r="T78" s="5"/>
    </row>
    <row r="79" spans="1:20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31"/>
      <c r="L79" s="151"/>
      <c r="M79" s="50"/>
      <c r="N79" s="131"/>
      <c r="O79" s="50"/>
      <c r="P79" s="50"/>
      <c r="Q79" s="131"/>
      <c r="R79" s="50"/>
      <c r="S79" s="50" t="s">
        <v>1</v>
      </c>
      <c r="T79" s="5"/>
    </row>
    <row r="80" spans="1:20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38"/>
      <c r="L80" s="158"/>
      <c r="M80" s="58"/>
      <c r="N80" s="138"/>
      <c r="O80" s="57"/>
      <c r="P80" s="58"/>
      <c r="Q80" s="138"/>
      <c r="R80" s="57"/>
      <c r="S80" s="58"/>
      <c r="T80" s="1"/>
    </row>
    <row r="81" ht="15">
      <c r="C81" s="36" t="s">
        <v>120</v>
      </c>
    </row>
    <row r="82" spans="3:7" ht="15">
      <c r="C82" s="14" t="s">
        <v>47</v>
      </c>
      <c r="E82" s="15" t="s">
        <v>48</v>
      </c>
      <c r="G82" s="14" t="s">
        <v>49</v>
      </c>
    </row>
    <row r="83" spans="3:6" ht="15">
      <c r="C83" s="14" t="s">
        <v>145</v>
      </c>
      <c r="E83" s="9">
        <v>0.1</v>
      </c>
      <c r="F83" s="9"/>
    </row>
    <row r="84" spans="3:7" ht="15">
      <c r="C84" s="14" t="s">
        <v>50</v>
      </c>
      <c r="E84" s="15" t="s">
        <v>51</v>
      </c>
      <c r="G84" s="14" t="s">
        <v>52</v>
      </c>
    </row>
    <row r="86" spans="4:16" ht="15">
      <c r="D86" s="190" t="s">
        <v>166</v>
      </c>
      <c r="H86" s="188">
        <f>+'RATES-Non Fed'!E31</f>
        <v>0.605</v>
      </c>
      <c r="J86" s="187">
        <f>J76/12*'RATES-Non Fed'!$C$46</f>
        <v>0</v>
      </c>
      <c r="L86" s="188">
        <f>+'RATES-Non Fed'!G31</f>
        <v>0.62</v>
      </c>
      <c r="M86" s="187">
        <f>M76/12*'RATES-Non Fed'!$C$46</f>
        <v>0</v>
      </c>
      <c r="O86" s="189">
        <f>+'RATES-Non Fed'!I31</f>
        <v>0.62</v>
      </c>
      <c r="P86" s="187">
        <f>P76/12*'RATES-Non Fed'!$C$46</f>
        <v>0</v>
      </c>
    </row>
    <row r="87" spans="4:16" ht="15">
      <c r="D87" s="255" t="s">
        <v>167</v>
      </c>
      <c r="E87" s="255"/>
      <c r="F87" s="255"/>
      <c r="G87" s="255"/>
      <c r="H87" s="188">
        <f>+'RATES-Non Fed'!G31</f>
        <v>0.62</v>
      </c>
      <c r="J87" s="187">
        <f>J76/12*'RATES-Non Fed'!$D$46</f>
        <v>0</v>
      </c>
      <c r="L87" s="188">
        <f>+'RATES-Non Fed'!I31</f>
        <v>0.62</v>
      </c>
      <c r="M87" s="187">
        <f>M76/12*'RATES-Non Fed'!$D$46</f>
        <v>0</v>
      </c>
      <c r="O87" s="189">
        <f>+'RATES-Non Fed'!K31</f>
        <v>0.62</v>
      </c>
      <c r="P87" s="187">
        <f>P76/12*'RATES-Non Fed'!$D$46</f>
        <v>0</v>
      </c>
    </row>
    <row r="88" spans="4:19" ht="17.25">
      <c r="D88" s="255"/>
      <c r="E88" s="255"/>
      <c r="F88" s="255"/>
      <c r="G88" s="255"/>
      <c r="J88" s="187">
        <f>SUM(J86:J87)</f>
        <v>0</v>
      </c>
      <c r="M88" s="187">
        <f>SUM(M86:M87)</f>
        <v>0</v>
      </c>
      <c r="P88" s="187">
        <f>SUM(P86:P87)</f>
        <v>0</v>
      </c>
      <c r="Q88" s="266"/>
      <c r="R88" s="266"/>
      <c r="S88" s="266"/>
    </row>
  </sheetData>
  <sheetProtection/>
  <mergeCells count="6">
    <mergeCell ref="K4:R5"/>
    <mergeCell ref="J8:L8"/>
    <mergeCell ref="M8:O8"/>
    <mergeCell ref="P8:R8"/>
    <mergeCell ref="Q88:S88"/>
    <mergeCell ref="D87:G8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/>
  <pageMargins left="0.5" right="0.3" top="0.5" bottom="0.5" header="0.5" footer="0.5"/>
  <pageSetup fitToHeight="1" fitToWidth="1" horizontalDpi="300" verticalDpi="300" orientation="landscape" scale="43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8"/>
  <sheetViews>
    <sheetView showGridLines="0" zoomScale="75" zoomScaleNormal="75" workbookViewId="0" topLeftCell="A1">
      <selection activeCell="F35" sqref="F34:F3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39" bestFit="1" customWidth="1"/>
    <col min="12" max="12" width="10.125" style="159" bestFit="1" customWidth="1"/>
    <col min="13" max="13" width="11.25390625" style="0" customWidth="1"/>
    <col min="14" max="14" width="9.25390625" style="139" bestFit="1" customWidth="1"/>
    <col min="15" max="15" width="9.50390625" style="84" bestFit="1" customWidth="1"/>
    <col min="16" max="16" width="11.25390625" style="0" customWidth="1"/>
    <col min="17" max="17" width="9.25390625" style="139" bestFit="1" customWidth="1"/>
    <col min="18" max="18" width="8.75390625" style="84" bestFit="1" customWidth="1"/>
    <col min="19" max="19" width="11.25390625" style="0" customWidth="1"/>
    <col min="20" max="20" width="9.25390625" style="139" bestFit="1" customWidth="1"/>
    <col min="21" max="21" width="8.75390625" style="84" bestFit="1" customWidth="1"/>
    <col min="22" max="22" width="14.625" style="0" customWidth="1"/>
    <col min="23" max="23" width="2.625" style="0" customWidth="1"/>
  </cols>
  <sheetData>
    <row r="1" spans="1:2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25"/>
      <c r="L1" s="147"/>
      <c r="M1" s="37"/>
      <c r="N1" s="140"/>
      <c r="O1" s="169"/>
      <c r="P1" s="37"/>
      <c r="Q1" s="140"/>
      <c r="R1" s="169"/>
      <c r="S1" s="37"/>
      <c r="T1" s="140"/>
      <c r="U1" s="169"/>
    </row>
    <row r="2" spans="1:22" ht="18.75">
      <c r="A2" s="17" t="s">
        <v>153</v>
      </c>
      <c r="B2" s="18"/>
      <c r="C2" s="18"/>
      <c r="D2" s="18"/>
      <c r="E2" s="18"/>
      <c r="F2" s="18"/>
      <c r="G2" s="18"/>
      <c r="H2" s="18"/>
      <c r="I2" s="18"/>
      <c r="J2" s="19"/>
      <c r="K2" s="125"/>
      <c r="L2" s="147"/>
      <c r="M2" s="37"/>
      <c r="N2" s="140"/>
      <c r="O2" s="169"/>
      <c r="P2" s="37"/>
      <c r="Q2" s="140"/>
      <c r="R2" s="169"/>
      <c r="S2" s="37"/>
      <c r="T2" s="140"/>
      <c r="U2" s="169"/>
      <c r="V2" s="37"/>
    </row>
    <row r="3" spans="1:22" ht="9.75" customHeight="1">
      <c r="A3" s="10" t="s">
        <v>1</v>
      </c>
      <c r="B3" s="1"/>
      <c r="J3" s="11" t="s">
        <v>1</v>
      </c>
      <c r="K3" s="126"/>
      <c r="L3" s="148"/>
      <c r="M3" s="8"/>
      <c r="P3" s="8"/>
      <c r="S3" s="8"/>
      <c r="V3" s="8"/>
    </row>
    <row r="4" spans="1:22" ht="15.75">
      <c r="A4" s="22" t="s">
        <v>2</v>
      </c>
      <c r="B4" s="1"/>
      <c r="D4" s="10" t="s">
        <v>70</v>
      </c>
      <c r="G4" s="3"/>
      <c r="J4" s="20" t="s">
        <v>3</v>
      </c>
      <c r="K4" s="256" t="s">
        <v>70</v>
      </c>
      <c r="L4" s="257"/>
      <c r="M4" s="258"/>
      <c r="N4" s="258"/>
      <c r="O4" s="258"/>
      <c r="P4" s="258"/>
      <c r="Q4" s="258"/>
      <c r="R4" s="258"/>
      <c r="S4" s="258"/>
      <c r="T4" s="258"/>
      <c r="U4" s="259"/>
      <c r="V4" s="8"/>
    </row>
    <row r="5" spans="1:22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60"/>
      <c r="L5" s="261"/>
      <c r="M5" s="261"/>
      <c r="N5" s="261"/>
      <c r="O5" s="261"/>
      <c r="P5" s="261"/>
      <c r="Q5" s="261"/>
      <c r="R5" s="261"/>
      <c r="S5" s="261"/>
      <c r="T5" s="261"/>
      <c r="U5" s="262"/>
      <c r="V5" s="8"/>
    </row>
    <row r="6" spans="1:22" ht="15.75">
      <c r="A6" s="14"/>
      <c r="B6" s="22" t="s">
        <v>5</v>
      </c>
      <c r="D6" s="73">
        <f>'RATES-Non Fed'!E2</f>
        <v>44317</v>
      </c>
      <c r="E6" s="12" t="s">
        <v>6</v>
      </c>
      <c r="F6" s="12"/>
      <c r="G6" s="73">
        <f>'RATES-Non Fed'!G2</f>
        <v>46142</v>
      </c>
      <c r="H6" s="4"/>
      <c r="I6" s="4"/>
      <c r="J6" s="2"/>
      <c r="K6" s="127"/>
      <c r="L6" s="149"/>
      <c r="M6" s="3"/>
      <c r="N6" s="127"/>
      <c r="O6" s="123"/>
      <c r="P6" s="3"/>
      <c r="Q6" s="127"/>
      <c r="R6" s="123"/>
      <c r="S6" s="3"/>
      <c r="T6" s="127"/>
      <c r="U6" s="123"/>
      <c r="V6" s="8"/>
    </row>
    <row r="7" spans="5:23" ht="7.5" customHeight="1">
      <c r="E7" s="3"/>
      <c r="F7" s="3"/>
      <c r="G7" s="1"/>
      <c r="H7" s="1"/>
      <c r="I7" s="1"/>
      <c r="J7" s="16" t="s">
        <v>1</v>
      </c>
      <c r="K7" s="126"/>
      <c r="L7" s="148"/>
      <c r="M7" s="8"/>
      <c r="N7" s="126"/>
      <c r="O7" s="117"/>
      <c r="P7" s="8"/>
      <c r="Q7" s="126"/>
      <c r="R7" s="117"/>
      <c r="S7" s="8"/>
      <c r="T7" s="126"/>
      <c r="U7" s="117"/>
      <c r="V7" s="8"/>
      <c r="W7" s="1"/>
    </row>
    <row r="8" spans="1:23" ht="15.75">
      <c r="A8" s="21"/>
      <c r="B8" s="21"/>
      <c r="C8" s="21"/>
      <c r="D8" s="21"/>
      <c r="E8" s="21"/>
      <c r="F8" s="21"/>
      <c r="G8" s="21"/>
      <c r="H8" s="21"/>
      <c r="I8" s="21"/>
      <c r="J8" s="245" t="s">
        <v>21</v>
      </c>
      <c r="K8" s="246"/>
      <c r="L8" s="247"/>
      <c r="M8" s="263" t="s">
        <v>54</v>
      </c>
      <c r="N8" s="264"/>
      <c r="O8" s="265"/>
      <c r="P8" s="263" t="s">
        <v>56</v>
      </c>
      <c r="Q8" s="264"/>
      <c r="R8" s="265"/>
      <c r="S8" s="263" t="s">
        <v>58</v>
      </c>
      <c r="T8" s="264"/>
      <c r="U8" s="265"/>
      <c r="V8" s="145" t="s">
        <v>8</v>
      </c>
      <c r="W8" s="21"/>
    </row>
    <row r="9" spans="1:23" s="121" customFormat="1" ht="15.75">
      <c r="A9" s="119" t="s">
        <v>9</v>
      </c>
      <c r="B9" s="119" t="s">
        <v>10</v>
      </c>
      <c r="C9" s="119"/>
      <c r="D9" s="119"/>
      <c r="E9" s="119"/>
      <c r="F9" s="119"/>
      <c r="G9" s="119"/>
      <c r="H9" s="119"/>
      <c r="I9" s="119"/>
      <c r="J9" s="163" t="s">
        <v>149</v>
      </c>
      <c r="K9" s="128" t="s">
        <v>150</v>
      </c>
      <c r="L9" s="119" t="s">
        <v>151</v>
      </c>
      <c r="M9" s="168" t="s">
        <v>149</v>
      </c>
      <c r="N9" s="128" t="s">
        <v>150</v>
      </c>
      <c r="O9" s="119" t="s">
        <v>151</v>
      </c>
      <c r="P9" s="168" t="s">
        <v>149</v>
      </c>
      <c r="Q9" s="128" t="s">
        <v>150</v>
      </c>
      <c r="R9" s="119" t="s">
        <v>151</v>
      </c>
      <c r="S9" s="168" t="s">
        <v>149</v>
      </c>
      <c r="T9" s="128" t="s">
        <v>150</v>
      </c>
      <c r="U9" s="119" t="s">
        <v>151</v>
      </c>
      <c r="V9" s="120"/>
      <c r="W9" s="119"/>
    </row>
    <row r="10" spans="1:23" ht="15.75">
      <c r="A10" s="1"/>
      <c r="B10" s="23" t="s">
        <v>11</v>
      </c>
      <c r="C10" s="24"/>
      <c r="D10" s="24" t="s">
        <v>101</v>
      </c>
      <c r="E10" s="1" t="s">
        <v>12</v>
      </c>
      <c r="F10" s="41" t="s">
        <v>123</v>
      </c>
      <c r="G10" s="41" t="s">
        <v>13</v>
      </c>
      <c r="H10" s="1"/>
      <c r="I10" s="1"/>
      <c r="J10" s="164"/>
      <c r="K10" s="126"/>
      <c r="L10" s="117"/>
      <c r="M10" s="164"/>
      <c r="N10" s="126"/>
      <c r="O10" s="117"/>
      <c r="P10" s="164"/>
      <c r="Q10" s="126"/>
      <c r="R10" s="117"/>
      <c r="S10" s="164"/>
      <c r="T10" s="126"/>
      <c r="U10" s="117"/>
      <c r="V10" s="2">
        <f>IF(SUM(J10:N10)=0,"",SUM(J10:N10))</f>
      </c>
      <c r="W10" s="1"/>
    </row>
    <row r="11" spans="1:23" ht="15.75">
      <c r="A11" s="1"/>
      <c r="B11" s="1" t="s">
        <v>14</v>
      </c>
      <c r="C11" s="10" t="str">
        <f>D5</f>
        <v>name</v>
      </c>
      <c r="D11" s="115" t="s">
        <v>125</v>
      </c>
      <c r="E11" s="70">
        <v>0</v>
      </c>
      <c r="F11" s="89">
        <f>IF(D11="CAL",(52*E11/4.3333),(IF(D11="ACAD",(36.35*E11/4.33333),IF(D11="SUMR",(15.65*E11/4.33333),IF(D11="PT",(0),0)))))</f>
        <v>0</v>
      </c>
      <c r="G11" s="69">
        <v>0</v>
      </c>
      <c r="J11" s="161">
        <f>ROUND(G11*E11,0)</f>
        <v>0</v>
      </c>
      <c r="K11" s="129">
        <f>ROUND(J11*'RATES-Non Fed'!E38,0)</f>
        <v>0</v>
      </c>
      <c r="L11" s="67">
        <f>ROUND(K11+J11,0)</f>
        <v>0</v>
      </c>
      <c r="M11" s="161">
        <f>ROUND((J11*1.025),0)</f>
        <v>0</v>
      </c>
      <c r="N11" s="129">
        <f>ROUND(M11*'RATES-Non Fed'!G38,0)</f>
        <v>0</v>
      </c>
      <c r="O11" s="67">
        <f aca="true" t="shared" si="0" ref="O11:O18">ROUND(M11+N11,0)</f>
        <v>0</v>
      </c>
      <c r="P11" s="161">
        <f>ROUND((M11*1.0275),0)</f>
        <v>0</v>
      </c>
      <c r="Q11" s="129">
        <f>ROUND(P11*'RATES-Non Fed'!I38,0)</f>
        <v>0</v>
      </c>
      <c r="R11" s="67">
        <f>SUM(P11:Q11)</f>
        <v>0</v>
      </c>
      <c r="S11" s="161">
        <f>ROUND((P11*1.03),0)</f>
        <v>0</v>
      </c>
      <c r="T11" s="129">
        <f>ROUND(S11*'RATES-Non Fed'!K38,0)</f>
        <v>0</v>
      </c>
      <c r="U11" s="67">
        <f>SUM(S11:T11)</f>
        <v>0</v>
      </c>
      <c r="V11" s="42">
        <f>SUM(L11+O11+R11+U11)</f>
        <v>0</v>
      </c>
      <c r="W11" s="1"/>
    </row>
    <row r="12" spans="1:23" ht="15.75">
      <c r="A12" s="1"/>
      <c r="B12" s="1" t="s">
        <v>14</v>
      </c>
      <c r="C12" s="3"/>
      <c r="D12" s="115" t="str">
        <f>IF(D11="ACAD",("SUMR"),"")</f>
        <v>SUMR</v>
      </c>
      <c r="E12" s="70">
        <v>0</v>
      </c>
      <c r="F12" s="89">
        <f aca="true" t="shared" si="1" ref="F12:F17">IF(D12="CAL",(52*E12/4.3333),(IF(D12="ACAD",(36.35*E12/4.33333),IF(D12="SUMR",(15.65*E12/4.33333),IF(D12="PT",(0),0)))))</f>
        <v>0</v>
      </c>
      <c r="G12" s="69">
        <f>+G11*0.4375</f>
        <v>0</v>
      </c>
      <c r="J12" s="161">
        <f aca="true" t="shared" si="2" ref="J12:J18">ROUND(G12*E12,0)</f>
        <v>0</v>
      </c>
      <c r="K12" s="129">
        <f>ROUND(J12*'RATES-Non Fed'!E38,0)</f>
        <v>0</v>
      </c>
      <c r="L12" s="67">
        <f aca="true" t="shared" si="3" ref="L12:L18">ROUND(K12+J12,0)</f>
        <v>0</v>
      </c>
      <c r="M12" s="161">
        <f aca="true" t="shared" si="4" ref="M12:M18">ROUND((J12*1.025),0)</f>
        <v>0</v>
      </c>
      <c r="N12" s="129">
        <f>ROUND(M12*'RATES-Non Fed'!G38,0)</f>
        <v>0</v>
      </c>
      <c r="O12" s="67">
        <f t="shared" si="0"/>
        <v>0</v>
      </c>
      <c r="P12" s="161">
        <f aca="true" t="shared" si="5" ref="P12:P18">ROUND((M12*1.0275),0)</f>
        <v>0</v>
      </c>
      <c r="Q12" s="129">
        <f>ROUND(P12*'RATES-Non Fed'!I38,0)</f>
        <v>0</v>
      </c>
      <c r="R12" s="67">
        <f aca="true" t="shared" si="6" ref="R12:R18">SUM(P12:Q12)</f>
        <v>0</v>
      </c>
      <c r="S12" s="161">
        <f aca="true" t="shared" si="7" ref="S12:S18">ROUND((P12*1.03),0)</f>
        <v>0</v>
      </c>
      <c r="T12" s="129">
        <f>ROUND(S12*'RATES-Non Fed'!K38,0)</f>
        <v>0</v>
      </c>
      <c r="U12" s="67">
        <f aca="true" t="shared" si="8" ref="U12:U18">SUM(S12:T12)</f>
        <v>0</v>
      </c>
      <c r="V12" s="42">
        <f aca="true" t="shared" si="9" ref="V12:V18">SUM(L12+O12+R12+U12)</f>
        <v>0</v>
      </c>
      <c r="W12" s="1"/>
    </row>
    <row r="13" spans="1:23" ht="15.75">
      <c r="A13" s="1"/>
      <c r="B13" s="1" t="s">
        <v>15</v>
      </c>
      <c r="C13" s="3"/>
      <c r="D13" s="115" t="s">
        <v>125</v>
      </c>
      <c r="E13" s="70">
        <v>0</v>
      </c>
      <c r="F13" s="89">
        <f t="shared" si="1"/>
        <v>0</v>
      </c>
      <c r="G13" s="69">
        <v>0</v>
      </c>
      <c r="J13" s="161">
        <f t="shared" si="2"/>
        <v>0</v>
      </c>
      <c r="K13" s="129">
        <f>ROUND(J13*'RATES-Non Fed'!E38,0)</f>
        <v>0</v>
      </c>
      <c r="L13" s="67">
        <f t="shared" si="3"/>
        <v>0</v>
      </c>
      <c r="M13" s="161">
        <f t="shared" si="4"/>
        <v>0</v>
      </c>
      <c r="N13" s="129">
        <f>ROUND(M13*'RATES-Non Fed'!G38,0)</f>
        <v>0</v>
      </c>
      <c r="O13" s="67">
        <f t="shared" si="0"/>
        <v>0</v>
      </c>
      <c r="P13" s="161">
        <f t="shared" si="5"/>
        <v>0</v>
      </c>
      <c r="Q13" s="129">
        <f>ROUND(P13*'RATES-Non Fed'!I38,0)</f>
        <v>0</v>
      </c>
      <c r="R13" s="67">
        <f t="shared" si="6"/>
        <v>0</v>
      </c>
      <c r="S13" s="161">
        <f t="shared" si="7"/>
        <v>0</v>
      </c>
      <c r="T13" s="129">
        <f>ROUND(S13*'RATES-Non Fed'!K38,0)</f>
        <v>0</v>
      </c>
      <c r="U13" s="67">
        <f t="shared" si="8"/>
        <v>0</v>
      </c>
      <c r="V13" s="42">
        <f t="shared" si="9"/>
        <v>0</v>
      </c>
      <c r="W13" s="1"/>
    </row>
    <row r="14" spans="1:22" ht="15.75">
      <c r="A14" s="1"/>
      <c r="B14" s="1"/>
      <c r="C14" s="3"/>
      <c r="D14" s="115" t="str">
        <f>IF(D13="ACAD",("SUMR"),"")</f>
        <v>SUMR</v>
      </c>
      <c r="E14" s="70">
        <v>0</v>
      </c>
      <c r="F14" s="89">
        <f t="shared" si="1"/>
        <v>0</v>
      </c>
      <c r="G14" s="69">
        <f>+G13*0.4375</f>
        <v>0</v>
      </c>
      <c r="J14" s="161">
        <f t="shared" si="2"/>
        <v>0</v>
      </c>
      <c r="K14" s="129">
        <f>ROUND(J14*'RATES-Non Fed'!E38,0)</f>
        <v>0</v>
      </c>
      <c r="L14" s="67">
        <f t="shared" si="3"/>
        <v>0</v>
      </c>
      <c r="M14" s="161">
        <f t="shared" si="4"/>
        <v>0</v>
      </c>
      <c r="N14" s="129">
        <f>ROUND(M14*'RATES-Non Fed'!G38,0)</f>
        <v>0</v>
      </c>
      <c r="O14" s="67">
        <f t="shared" si="0"/>
        <v>0</v>
      </c>
      <c r="P14" s="161">
        <f t="shared" si="5"/>
        <v>0</v>
      </c>
      <c r="Q14" s="129">
        <f>ROUND(P14*'RATES-Non Fed'!I38,0)</f>
        <v>0</v>
      </c>
      <c r="R14" s="67">
        <f t="shared" si="6"/>
        <v>0</v>
      </c>
      <c r="S14" s="161">
        <f t="shared" si="7"/>
        <v>0</v>
      </c>
      <c r="T14" s="129">
        <f>ROUND(S14*'RATES-Non Fed'!K38,0)</f>
        <v>0</v>
      </c>
      <c r="U14" s="67">
        <f t="shared" si="8"/>
        <v>0</v>
      </c>
      <c r="V14" s="42">
        <f t="shared" si="9"/>
        <v>0</v>
      </c>
    </row>
    <row r="15" spans="1:23" ht="15.75">
      <c r="A15" s="1"/>
      <c r="B15" s="1" t="s">
        <v>15</v>
      </c>
      <c r="C15" s="3"/>
      <c r="D15" s="115" t="s">
        <v>125</v>
      </c>
      <c r="E15" s="70">
        <v>0</v>
      </c>
      <c r="F15" s="89">
        <f t="shared" si="1"/>
        <v>0</v>
      </c>
      <c r="G15" s="69">
        <v>0</v>
      </c>
      <c r="J15" s="161">
        <f t="shared" si="2"/>
        <v>0</v>
      </c>
      <c r="K15" s="129">
        <f>ROUND(J15*'RATES-Non Fed'!E38,0)</f>
        <v>0</v>
      </c>
      <c r="L15" s="67">
        <f t="shared" si="3"/>
        <v>0</v>
      </c>
      <c r="M15" s="161">
        <f t="shared" si="4"/>
        <v>0</v>
      </c>
      <c r="N15" s="129">
        <f>ROUND(M15*'RATES-Non Fed'!G38,0)</f>
        <v>0</v>
      </c>
      <c r="O15" s="67">
        <f t="shared" si="0"/>
        <v>0</v>
      </c>
      <c r="P15" s="161">
        <f t="shared" si="5"/>
        <v>0</v>
      </c>
      <c r="Q15" s="129">
        <f>ROUND(P15*'RATES-Non Fed'!I38,0)</f>
        <v>0</v>
      </c>
      <c r="R15" s="67">
        <f t="shared" si="6"/>
        <v>0</v>
      </c>
      <c r="S15" s="161">
        <f t="shared" si="7"/>
        <v>0</v>
      </c>
      <c r="T15" s="129">
        <f>ROUND(S15*'RATES-Non Fed'!K38,0)</f>
        <v>0</v>
      </c>
      <c r="U15" s="67">
        <f t="shared" si="8"/>
        <v>0</v>
      </c>
      <c r="V15" s="42">
        <f t="shared" si="9"/>
        <v>0</v>
      </c>
      <c r="W15" s="1"/>
    </row>
    <row r="16" spans="1:22" ht="15.75">
      <c r="A16" s="1"/>
      <c r="B16" s="1"/>
      <c r="C16" s="3"/>
      <c r="D16" s="115" t="str">
        <f>IF(D15="ACAD",("SUMR"),"")</f>
        <v>SUMR</v>
      </c>
      <c r="E16" s="70">
        <v>0</v>
      </c>
      <c r="F16" s="89">
        <f t="shared" si="1"/>
        <v>0</v>
      </c>
      <c r="G16" s="69">
        <f>+G15*0.4375</f>
        <v>0</v>
      </c>
      <c r="J16" s="161">
        <f t="shared" si="2"/>
        <v>0</v>
      </c>
      <c r="K16" s="129">
        <f>ROUND(J16*'RATES-Non Fed'!E38,0)</f>
        <v>0</v>
      </c>
      <c r="L16" s="67">
        <f t="shared" si="3"/>
        <v>0</v>
      </c>
      <c r="M16" s="161">
        <f t="shared" si="4"/>
        <v>0</v>
      </c>
      <c r="N16" s="129">
        <f>ROUND(M16*'RATES-Non Fed'!G38,0)</f>
        <v>0</v>
      </c>
      <c r="O16" s="67">
        <f t="shared" si="0"/>
        <v>0</v>
      </c>
      <c r="P16" s="161">
        <f t="shared" si="5"/>
        <v>0</v>
      </c>
      <c r="Q16" s="129">
        <f>ROUND(P16*'RATES-Non Fed'!I38,0)</f>
        <v>0</v>
      </c>
      <c r="R16" s="67">
        <f t="shared" si="6"/>
        <v>0</v>
      </c>
      <c r="S16" s="161">
        <f t="shared" si="7"/>
        <v>0</v>
      </c>
      <c r="T16" s="129">
        <f>ROUND(S16*'RATES-Non Fed'!K38,0)</f>
        <v>0</v>
      </c>
      <c r="U16" s="67">
        <f t="shared" si="8"/>
        <v>0</v>
      </c>
      <c r="V16" s="42">
        <f t="shared" si="9"/>
        <v>0</v>
      </c>
    </row>
    <row r="17" spans="1:23" ht="15.75">
      <c r="A17" s="1"/>
      <c r="B17" s="1" t="s">
        <v>15</v>
      </c>
      <c r="C17" s="3"/>
      <c r="D17" s="115" t="s">
        <v>124</v>
      </c>
      <c r="E17" s="70">
        <v>0</v>
      </c>
      <c r="F17" s="89">
        <f t="shared" si="1"/>
        <v>0</v>
      </c>
      <c r="G17" s="69">
        <v>0</v>
      </c>
      <c r="J17" s="161">
        <f t="shared" si="2"/>
        <v>0</v>
      </c>
      <c r="K17" s="129">
        <f>ROUND(J17*'RATES-Non Fed'!E38,0)</f>
        <v>0</v>
      </c>
      <c r="L17" s="202">
        <f t="shared" si="3"/>
        <v>0</v>
      </c>
      <c r="M17" s="161">
        <f t="shared" si="4"/>
        <v>0</v>
      </c>
      <c r="N17" s="203">
        <f>ROUND(M17*'RATES-Non Fed'!G38,0)</f>
        <v>0</v>
      </c>
      <c r="O17" s="202">
        <f t="shared" si="0"/>
        <v>0</v>
      </c>
      <c r="P17" s="161">
        <f t="shared" si="5"/>
        <v>0</v>
      </c>
      <c r="Q17" s="203">
        <f>ROUND(P17*'RATES-Non Fed'!I38,0)</f>
        <v>0</v>
      </c>
      <c r="R17" s="202">
        <f t="shared" si="6"/>
        <v>0</v>
      </c>
      <c r="S17" s="161">
        <f t="shared" si="7"/>
        <v>0</v>
      </c>
      <c r="T17" s="203">
        <f>ROUND(S17*'RATES-Non Fed'!K38,0)</f>
        <v>0</v>
      </c>
      <c r="U17" s="67">
        <f t="shared" si="8"/>
        <v>0</v>
      </c>
      <c r="V17" s="42">
        <f t="shared" si="9"/>
        <v>0</v>
      </c>
      <c r="W17" s="1"/>
    </row>
    <row r="18" spans="1:22" ht="15.75">
      <c r="A18" s="1"/>
      <c r="B18" s="1" t="s">
        <v>15</v>
      </c>
      <c r="C18" s="3"/>
      <c r="D18" s="115" t="s">
        <v>124</v>
      </c>
      <c r="E18" s="70">
        <v>0</v>
      </c>
      <c r="F18" s="89">
        <f>IF(D18="CAL",(52*E18/4.3333),(IF(D18="ACAD",(36.35*E18/4.33333),IF(D18="SUMR",(15.65*E18/4.33333),IF(D18="PT",(0),0)))))</f>
        <v>0</v>
      </c>
      <c r="G18" s="69">
        <v>0</v>
      </c>
      <c r="J18" s="176">
        <f t="shared" si="2"/>
        <v>0</v>
      </c>
      <c r="K18" s="181">
        <f>ROUND(J18*'RATES-Non Fed'!E38,0)</f>
        <v>0</v>
      </c>
      <c r="L18" s="182">
        <f t="shared" si="3"/>
        <v>0</v>
      </c>
      <c r="M18" s="161">
        <f t="shared" si="4"/>
        <v>0</v>
      </c>
      <c r="N18" s="181">
        <f>ROUND(M18*'RATES-Non Fed'!G38,0)</f>
        <v>0</v>
      </c>
      <c r="O18" s="182">
        <f t="shared" si="0"/>
        <v>0</v>
      </c>
      <c r="P18" s="161">
        <f t="shared" si="5"/>
        <v>0</v>
      </c>
      <c r="Q18" s="181">
        <f>ROUND(P18*'RATES-Non Fed'!I38,0)</f>
        <v>0</v>
      </c>
      <c r="R18" s="182">
        <f t="shared" si="6"/>
        <v>0</v>
      </c>
      <c r="S18" s="161">
        <f t="shared" si="7"/>
        <v>0</v>
      </c>
      <c r="T18" s="181">
        <f>ROUND(S18*'RATES-Non Fed'!K38,0)</f>
        <v>0</v>
      </c>
      <c r="U18" s="182">
        <f t="shared" si="8"/>
        <v>0</v>
      </c>
      <c r="V18" s="179">
        <f t="shared" si="9"/>
        <v>0</v>
      </c>
    </row>
    <row r="19" spans="1:23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80">
        <f aca="true" t="shared" si="10" ref="J19:V19">SUM(J11:J18)</f>
        <v>0</v>
      </c>
      <c r="K19" s="130">
        <f t="shared" si="10"/>
        <v>0</v>
      </c>
      <c r="L19" s="46">
        <f t="shared" si="10"/>
        <v>0</v>
      </c>
      <c r="M19" s="180">
        <f t="shared" si="10"/>
        <v>0</v>
      </c>
      <c r="N19" s="130">
        <f t="shared" si="10"/>
        <v>0</v>
      </c>
      <c r="O19" s="46">
        <f t="shared" si="10"/>
        <v>0</v>
      </c>
      <c r="P19" s="180">
        <f t="shared" si="10"/>
        <v>0</v>
      </c>
      <c r="Q19" s="130">
        <f t="shared" si="10"/>
        <v>0</v>
      </c>
      <c r="R19" s="46">
        <f t="shared" si="10"/>
        <v>0</v>
      </c>
      <c r="S19" s="180">
        <f t="shared" si="10"/>
        <v>0</v>
      </c>
      <c r="T19" s="130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1" ht="15.75">
      <c r="A20" s="21" t="s">
        <v>180</v>
      </c>
      <c r="B20" s="21" t="s">
        <v>181</v>
      </c>
      <c r="C20" s="1"/>
      <c r="D20" s="25"/>
      <c r="E20" s="26"/>
      <c r="F20" s="26"/>
      <c r="G20" s="1"/>
      <c r="H20" s="1"/>
      <c r="I20" s="1"/>
      <c r="J20" s="180"/>
      <c r="K20" s="130"/>
      <c r="L20" s="46"/>
      <c r="M20" s="42"/>
      <c r="N20" s="6"/>
      <c r="O20"/>
      <c r="Q20"/>
      <c r="R20"/>
      <c r="T20"/>
      <c r="U20"/>
    </row>
    <row r="21" spans="1:22" ht="15.75">
      <c r="A21" s="1"/>
      <c r="B21" s="1" t="s">
        <v>15</v>
      </c>
      <c r="C21" s="3"/>
      <c r="D21" s="115" t="s">
        <v>124</v>
      </c>
      <c r="E21" s="70">
        <v>0</v>
      </c>
      <c r="F21" s="89">
        <f>IF(D21="CAL",(52*E21/4.3333),(IF(D21="ACAD",(32*E21/4.33333),IF(D21="SUMR",(14*E21/4.33333),IF(D21="PT",(0),0)))))</f>
        <v>0</v>
      </c>
      <c r="G21" s="69">
        <v>0</v>
      </c>
      <c r="J21" s="161">
        <f>ROUND(G21*E21,0)</f>
        <v>0</v>
      </c>
      <c r="K21" s="129">
        <f>ROUND(J21*'RATES-Non Fed'!E40,0)</f>
        <v>0</v>
      </c>
      <c r="L21" s="67">
        <f>ROUND(K21+J21,0)</f>
        <v>0</v>
      </c>
      <c r="M21" s="161">
        <f>ROUND((J21*1.02),0)</f>
        <v>0</v>
      </c>
      <c r="N21" s="129">
        <f>ROUND(M21*'RATES-Non Fed'!G40,0)</f>
        <v>0</v>
      </c>
      <c r="O21" s="67">
        <f>ROUND(M21+N21,0)</f>
        <v>0</v>
      </c>
      <c r="P21" s="161">
        <f>ROUND((M21*1.02),0)</f>
        <v>0</v>
      </c>
      <c r="Q21" s="129">
        <f>ROUND(P21*'RATES-Non Fed'!I40,0)</f>
        <v>0</v>
      </c>
      <c r="R21" s="67">
        <f>ROUND(P21+Q21,0)</f>
        <v>0</v>
      </c>
      <c r="S21" s="161">
        <f>ROUND((P21*1.02),0)</f>
        <v>0</v>
      </c>
      <c r="T21" s="129">
        <f>ROUND(S21*'RATES-Non Fed'!K40,0)</f>
        <v>0</v>
      </c>
      <c r="U21" s="76">
        <f>SUM(S21:T21)</f>
        <v>0</v>
      </c>
      <c r="V21" s="42">
        <f>SUM(L21+O21+R21+U21)</f>
        <v>0</v>
      </c>
    </row>
    <row r="22" spans="1:22" ht="15.75">
      <c r="A22" s="1"/>
      <c r="B22" s="1" t="s">
        <v>15</v>
      </c>
      <c r="C22" s="3"/>
      <c r="D22" s="115" t="s">
        <v>124</v>
      </c>
      <c r="E22" s="70">
        <v>0</v>
      </c>
      <c r="F22" s="89">
        <f>IF(D22="CAL",(52*E22/4.3333),(IF(D22="ACAD",(32*E22/4.33333),IF(D22="SUMR",(14*E22/4.33333),IF(D22="PT",(0),0)))))</f>
        <v>0</v>
      </c>
      <c r="G22" s="69">
        <v>0</v>
      </c>
      <c r="J22" s="161">
        <f>ROUND(G22*E22,0)</f>
        <v>0</v>
      </c>
      <c r="K22" s="129">
        <f>ROUND(J22*'RATES-Non Fed'!E40,0)</f>
        <v>0</v>
      </c>
      <c r="L22" s="67">
        <f>ROUND(K22+J22,0)</f>
        <v>0</v>
      </c>
      <c r="M22" s="161">
        <f>ROUND((J22*1.02),0)</f>
        <v>0</v>
      </c>
      <c r="N22" s="129">
        <f>ROUND(M22*'RATES-Non Fed'!G40,0)</f>
        <v>0</v>
      </c>
      <c r="O22" s="67">
        <f>ROUND(M22+N22,0)</f>
        <v>0</v>
      </c>
      <c r="P22" s="161">
        <f>ROUND((M22*1.02),0)</f>
        <v>0</v>
      </c>
      <c r="Q22" s="129">
        <f>ROUND(P22*'RATES-Non Fed'!I40,0)</f>
        <v>0</v>
      </c>
      <c r="R22" s="67">
        <f>ROUND(P22+Q22,0)</f>
        <v>0</v>
      </c>
      <c r="S22" s="161">
        <f>ROUND((P22*1.02),0)</f>
        <v>0</v>
      </c>
      <c r="T22" s="129">
        <f>ROUND(S22*'RATES-Non Fed'!K40,0)</f>
        <v>0</v>
      </c>
      <c r="U22" s="76">
        <f>SUM(S22:T22)</f>
        <v>0</v>
      </c>
      <c r="V22" s="42">
        <f>SUM(L22+O22+R22+U22)</f>
        <v>0</v>
      </c>
    </row>
    <row r="23" spans="1:22" ht="15.75">
      <c r="A23" s="1"/>
      <c r="B23" s="1" t="s">
        <v>15</v>
      </c>
      <c r="C23" s="3"/>
      <c r="D23" s="115" t="s">
        <v>124</v>
      </c>
      <c r="E23" s="70">
        <v>0</v>
      </c>
      <c r="F23" s="89">
        <f>IF(D23="CAL",(52*E23/4.3333),(IF(D23="ACAD",(32*E23/4.33333),IF(D23="SUMR",(14*E23/4.33333),IF(D23="PT",(0),0)))))</f>
        <v>0</v>
      </c>
      <c r="G23" s="69">
        <v>0</v>
      </c>
      <c r="J23" s="161">
        <f>ROUND(G23*E23,0)</f>
        <v>0</v>
      </c>
      <c r="K23" s="129">
        <f>ROUND(J23*'RATES-Non Fed'!E40,0)</f>
        <v>0</v>
      </c>
      <c r="L23" s="67">
        <f>ROUND(K23+J23,0)</f>
        <v>0</v>
      </c>
      <c r="M23" s="161">
        <f>ROUND((J23*1.02),0)</f>
        <v>0</v>
      </c>
      <c r="N23" s="129">
        <f>ROUND(M23*'RATES-Non Fed'!G40,0)</f>
        <v>0</v>
      </c>
      <c r="O23" s="67">
        <f>ROUND(M23+N23,0)</f>
        <v>0</v>
      </c>
      <c r="P23" s="161">
        <f>ROUND((M23*1.02),0)</f>
        <v>0</v>
      </c>
      <c r="Q23" s="129">
        <f>ROUND(P23*'RATES-Non Fed'!I40,0)</f>
        <v>0</v>
      </c>
      <c r="R23" s="67">
        <f>ROUND(P23+Q23,0)</f>
        <v>0</v>
      </c>
      <c r="S23" s="161">
        <f>ROUND((P23*1.02),0)</f>
        <v>0</v>
      </c>
      <c r="T23" s="129">
        <f>ROUND(S23*'RATES-Non Fed'!K40,0)</f>
        <v>0</v>
      </c>
      <c r="U23" s="76">
        <f>SUM(S23:T23)</f>
        <v>0</v>
      </c>
      <c r="V23" s="42">
        <f>SUM(L23+O23+R23+U23)</f>
        <v>0</v>
      </c>
    </row>
    <row r="24" spans="1:22" ht="15.75">
      <c r="A24" s="1"/>
      <c r="B24" s="1" t="s">
        <v>15</v>
      </c>
      <c r="C24" s="3"/>
      <c r="D24" s="115" t="s">
        <v>124</v>
      </c>
      <c r="E24" s="70">
        <v>0</v>
      </c>
      <c r="F24" s="89">
        <f>IF(D24="CAL",(52*E24/4.3333),(IF(D24="ACAD",(32*E24/4.33333),IF(D24="SUMR",(14*E24/4.33333),IF(D24="PT",(0),0)))))</f>
        <v>0</v>
      </c>
      <c r="G24" s="69">
        <v>0</v>
      </c>
      <c r="J24" s="161">
        <f>ROUND(G24*E24,0)</f>
        <v>0</v>
      </c>
      <c r="K24" s="181">
        <f>ROUND(J24*'RATES-Non Fed'!E40,0)</f>
        <v>0</v>
      </c>
      <c r="L24" s="182">
        <f>ROUND(K24+J24,0)</f>
        <v>0</v>
      </c>
      <c r="M24" s="176">
        <f>ROUND((J24*1.02),0)</f>
        <v>0</v>
      </c>
      <c r="N24" s="181">
        <f>ROUND(M24*'RATES-Non Fed'!G40,0)</f>
        <v>0</v>
      </c>
      <c r="O24" s="182">
        <f>ROUND(M24+N24,0)</f>
        <v>0</v>
      </c>
      <c r="P24" s="176">
        <f>ROUND((M24*1.02),0)</f>
        <v>0</v>
      </c>
      <c r="Q24" s="181">
        <f>ROUND(P24*'RATES-Non Fed'!I40,0)</f>
        <v>0</v>
      </c>
      <c r="R24" s="182">
        <f>ROUND(P24+Q24,0)</f>
        <v>0</v>
      </c>
      <c r="S24" s="176">
        <f>ROUND((P24*1.02),0)</f>
        <v>0</v>
      </c>
      <c r="T24" s="181">
        <f>ROUND(S24*'RATES-Non Fed'!K40,0)</f>
        <v>0</v>
      </c>
      <c r="U24" s="204">
        <f>SUM(S24:T24)</f>
        <v>0</v>
      </c>
      <c r="V24" s="179">
        <f>SUM(L24+O24+R24+U24)</f>
        <v>0</v>
      </c>
    </row>
    <row r="25" spans="1:22" ht="15.75">
      <c r="A25" s="1"/>
      <c r="B25" s="1"/>
      <c r="C25" s="1"/>
      <c r="D25" s="25" t="s">
        <v>185</v>
      </c>
      <c r="E25" s="26"/>
      <c r="F25" s="26"/>
      <c r="G25" s="1"/>
      <c r="H25" s="1"/>
      <c r="I25" s="1"/>
      <c r="J25" s="165">
        <f aca="true" t="shared" si="11" ref="J25:T25">SUM(J21:J24)</f>
        <v>0</v>
      </c>
      <c r="K25" s="130">
        <f t="shared" si="11"/>
        <v>0</v>
      </c>
      <c r="L25" s="46">
        <f t="shared" si="11"/>
        <v>0</v>
      </c>
      <c r="M25" s="76">
        <f t="shared" si="11"/>
        <v>0</v>
      </c>
      <c r="N25" s="6">
        <f t="shared" si="11"/>
        <v>0</v>
      </c>
      <c r="O25" s="76">
        <f t="shared" si="11"/>
        <v>0</v>
      </c>
      <c r="P25" s="42">
        <f t="shared" si="11"/>
        <v>0</v>
      </c>
      <c r="Q25" s="42">
        <f t="shared" si="11"/>
        <v>0</v>
      </c>
      <c r="R25" s="76">
        <f t="shared" si="11"/>
        <v>0</v>
      </c>
      <c r="S25" s="42">
        <f t="shared" si="11"/>
        <v>0</v>
      </c>
      <c r="T25" s="42">
        <f t="shared" si="11"/>
        <v>0</v>
      </c>
      <c r="U25"/>
      <c r="V25" s="42">
        <f>SUM(V21:V24)</f>
        <v>0</v>
      </c>
    </row>
    <row r="26" spans="1:22" ht="7.5" customHeight="1">
      <c r="A26" s="1"/>
      <c r="B26" s="1"/>
      <c r="C26" s="1"/>
      <c r="D26" s="26"/>
      <c r="E26" s="26"/>
      <c r="F26" s="26"/>
      <c r="G26" s="1"/>
      <c r="H26" s="1"/>
      <c r="I26" s="1"/>
      <c r="J26" s="166"/>
      <c r="K26" s="130"/>
      <c r="L26" s="46"/>
      <c r="M26" s="160"/>
      <c r="N26" s="130"/>
      <c r="O26" s="46"/>
      <c r="P26" s="160"/>
      <c r="Q26" s="130"/>
      <c r="R26" s="46"/>
      <c r="T26" s="6"/>
      <c r="U26"/>
      <c r="V26" s="42"/>
    </row>
    <row r="27" spans="1:22" ht="15.75">
      <c r="A27" s="22" t="s">
        <v>182</v>
      </c>
      <c r="B27" s="22" t="s">
        <v>17</v>
      </c>
      <c r="C27" s="1"/>
      <c r="D27" s="26"/>
      <c r="E27" s="1"/>
      <c r="F27" s="1"/>
      <c r="G27" s="41"/>
      <c r="H27" s="1"/>
      <c r="I27" s="1"/>
      <c r="J27" s="164"/>
      <c r="K27" s="126"/>
      <c r="L27" s="117"/>
      <c r="M27" s="164"/>
      <c r="N27" s="130"/>
      <c r="O27" s="46"/>
      <c r="P27" s="164"/>
      <c r="Q27" s="130"/>
      <c r="R27" s="46"/>
      <c r="T27" s="6"/>
      <c r="U27"/>
      <c r="V27" s="42"/>
    </row>
    <row r="28" spans="1:22" ht="15.75">
      <c r="A28" s="1"/>
      <c r="C28" s="13" t="s">
        <v>87</v>
      </c>
      <c r="D28" s="41" t="s">
        <v>121</v>
      </c>
      <c r="E28" s="68"/>
      <c r="F28" s="68"/>
      <c r="G28" s="59"/>
      <c r="J28" s="161"/>
      <c r="K28" s="198"/>
      <c r="L28" s="50"/>
      <c r="M28" s="161"/>
      <c r="N28" s="199"/>
      <c r="O28" s="122"/>
      <c r="P28" s="161"/>
      <c r="Q28" s="199"/>
      <c r="R28" s="122"/>
      <c r="T28" s="5"/>
      <c r="U28"/>
      <c r="V28" s="42"/>
    </row>
    <row r="29" spans="1:22" ht="15.75">
      <c r="A29" s="1"/>
      <c r="C29" s="13"/>
      <c r="D29" s="87"/>
      <c r="E29" s="70">
        <v>0</v>
      </c>
      <c r="F29" s="88">
        <f>SUM(52*E29/4.3333)</f>
        <v>0</v>
      </c>
      <c r="G29" s="69">
        <v>0</v>
      </c>
      <c r="J29" s="161">
        <f>ROUND(G29*E29,0)</f>
        <v>0</v>
      </c>
      <c r="K29" s="198">
        <f>ROUND(J29*'RATES-Non Fed'!E39,0)</f>
        <v>0</v>
      </c>
      <c r="L29" s="50">
        <f>SUM(J29:K29)</f>
        <v>0</v>
      </c>
      <c r="M29" s="161">
        <f>ROUND(J29*1.02,0)</f>
        <v>0</v>
      </c>
      <c r="N29" s="198">
        <f>ROUND(M29*'RATES-Non Fed'!G39,0)</f>
        <v>0</v>
      </c>
      <c r="O29" s="50">
        <f>SUM(M29:N29)</f>
        <v>0</v>
      </c>
      <c r="P29" s="161">
        <f>ROUND(M29*1.02,0)</f>
        <v>0</v>
      </c>
      <c r="Q29" s="198">
        <f>ROUND(P29*'RATES-Non Fed'!I39,0)</f>
        <v>0</v>
      </c>
      <c r="R29" s="50">
        <f>SUM(P29:Q29)</f>
        <v>0</v>
      </c>
      <c r="S29" s="161">
        <f>ROUND(P29*1.02,0)</f>
        <v>0</v>
      </c>
      <c r="T29" s="198">
        <f>ROUND(S29*'RATES-Non Fed'!K39,0)</f>
        <v>0</v>
      </c>
      <c r="U29" s="50">
        <f>SUM(S29:T29)</f>
        <v>0</v>
      </c>
      <c r="V29" s="42">
        <f>SUM(L29+O29+R29+U29)</f>
        <v>0</v>
      </c>
    </row>
    <row r="30" spans="1:22" ht="15.75">
      <c r="A30" s="1"/>
      <c r="C30" s="13"/>
      <c r="D30" s="1"/>
      <c r="E30" s="70">
        <v>0</v>
      </c>
      <c r="F30" s="88">
        <f>SUM(52*E30/4.3333)</f>
        <v>0</v>
      </c>
      <c r="G30" s="69">
        <v>0</v>
      </c>
      <c r="J30" s="161">
        <f>ROUND(G30*E30,0)</f>
        <v>0</v>
      </c>
      <c r="K30" s="198">
        <f>ROUND(J30*'RATES-Non Fed'!E39,0)</f>
        <v>0</v>
      </c>
      <c r="L30" s="50">
        <f>SUM(J30:K30)</f>
        <v>0</v>
      </c>
      <c r="M30" s="161">
        <f>ROUND(J30*1.02,0)</f>
        <v>0</v>
      </c>
      <c r="N30" s="198">
        <f>ROUND(M30*'RATES-Non Fed'!G39,0)</f>
        <v>0</v>
      </c>
      <c r="O30" s="50">
        <f>SUM(M30:N30)</f>
        <v>0</v>
      </c>
      <c r="P30" s="161">
        <f>ROUND(M30*1.02,0)</f>
        <v>0</v>
      </c>
      <c r="Q30" s="198">
        <f>ROUND(P30*'RATES-Non Fed'!I39,0)</f>
        <v>0</v>
      </c>
      <c r="R30" s="50">
        <f>SUM(P30:Q30)</f>
        <v>0</v>
      </c>
      <c r="S30" s="161">
        <f>ROUND(P30*1.02,0)</f>
        <v>0</v>
      </c>
      <c r="T30" s="198">
        <f>ROUND(S30*'RATES-Non Fed'!K39,0)</f>
        <v>0</v>
      </c>
      <c r="U30" s="50">
        <f>SUM(S30:T30)</f>
        <v>0</v>
      </c>
      <c r="V30" s="42">
        <f>SUM(L30+O30+R30+U30)</f>
        <v>0</v>
      </c>
    </row>
    <row r="31" spans="1:22" ht="15.75">
      <c r="A31" s="1"/>
      <c r="C31" s="13"/>
      <c r="D31" s="1"/>
      <c r="E31" s="70">
        <v>0</v>
      </c>
      <c r="F31" s="88">
        <f>SUM(52*E31/4.3333)</f>
        <v>0</v>
      </c>
      <c r="G31" s="69">
        <v>0</v>
      </c>
      <c r="J31" s="176">
        <f>ROUND(G31*E31,0)</f>
        <v>0</v>
      </c>
      <c r="K31" s="177">
        <f>ROUND(J31*'RATES-Non Fed'!E39,0)</f>
        <v>0</v>
      </c>
      <c r="L31" s="178">
        <f>SUM(J31:K31)</f>
        <v>0</v>
      </c>
      <c r="M31" s="176">
        <f>ROUND(J31*1.02,0)</f>
        <v>0</v>
      </c>
      <c r="N31" s="177">
        <f>ROUND(M31*'RATES-Non Fed'!G39,0)</f>
        <v>0</v>
      </c>
      <c r="O31" s="178">
        <f>SUM(M31:N31)</f>
        <v>0</v>
      </c>
      <c r="P31" s="176">
        <f>ROUND(M31*1.02,0)</f>
        <v>0</v>
      </c>
      <c r="Q31" s="177">
        <f>ROUND(P31*'RATES-Non Fed'!I39,0)</f>
        <v>0</v>
      </c>
      <c r="R31" s="178">
        <f>SUM(P31:Q31)</f>
        <v>0</v>
      </c>
      <c r="S31" s="176">
        <f>ROUND(P31*1.02,0)</f>
        <v>0</v>
      </c>
      <c r="T31" s="177">
        <f>ROUND(S31*'RATES-Non Fed'!K39,0)</f>
        <v>0</v>
      </c>
      <c r="U31" s="178">
        <f>SUM(S31:T31)</f>
        <v>0</v>
      </c>
      <c r="V31" s="179">
        <f>SUM(L31+O31+R31+U31)</f>
        <v>0</v>
      </c>
    </row>
    <row r="32" spans="1:22" ht="15.75">
      <c r="A32" s="1"/>
      <c r="C32" s="13"/>
      <c r="D32" s="1" t="s">
        <v>122</v>
      </c>
      <c r="E32" s="70"/>
      <c r="F32" s="70"/>
      <c r="G32" s="69"/>
      <c r="J32" s="167">
        <f aca="true" t="shared" si="12" ref="J32:R32">SUM(J29:J31)</f>
        <v>0</v>
      </c>
      <c r="K32" s="198">
        <f t="shared" si="12"/>
        <v>0</v>
      </c>
      <c r="L32" s="50">
        <f t="shared" si="12"/>
        <v>0</v>
      </c>
      <c r="M32" s="167">
        <f t="shared" si="12"/>
        <v>0</v>
      </c>
      <c r="N32" s="199">
        <f t="shared" si="12"/>
        <v>0</v>
      </c>
      <c r="O32" s="122">
        <f t="shared" si="12"/>
        <v>0</v>
      </c>
      <c r="P32" s="167">
        <f t="shared" si="12"/>
        <v>0</v>
      </c>
      <c r="Q32" s="199">
        <f t="shared" si="12"/>
        <v>0</v>
      </c>
      <c r="R32" s="122">
        <f t="shared" si="12"/>
        <v>0</v>
      </c>
      <c r="S32" s="167">
        <f>SUM(S29:S31)</f>
        <v>0</v>
      </c>
      <c r="T32" s="199">
        <f>SUM(T29:T31)</f>
        <v>0</v>
      </c>
      <c r="U32" s="122">
        <f>SUM(U29:U31)</f>
        <v>0</v>
      </c>
      <c r="V32" s="42">
        <f>SUM(V29:V31)</f>
        <v>0</v>
      </c>
    </row>
    <row r="33" spans="1:22" ht="9.75" customHeight="1">
      <c r="A33" s="1"/>
      <c r="C33" s="13"/>
      <c r="D33" s="1"/>
      <c r="E33" s="70"/>
      <c r="F33" s="70"/>
      <c r="G33" s="69"/>
      <c r="J33" s="167"/>
      <c r="K33" s="198"/>
      <c r="L33" s="50"/>
      <c r="M33" s="167"/>
      <c r="N33" s="199"/>
      <c r="O33" s="122"/>
      <c r="P33" s="167"/>
      <c r="Q33" s="199"/>
      <c r="R33" s="122"/>
      <c r="T33" s="5"/>
      <c r="U33"/>
      <c r="V33" s="42"/>
    </row>
    <row r="34" spans="1:22" ht="15.75">
      <c r="A34" s="1"/>
      <c r="C34" s="13" t="s">
        <v>88</v>
      </c>
      <c r="D34" s="1"/>
      <c r="E34" s="70">
        <v>0</v>
      </c>
      <c r="F34" s="88">
        <f>SUM(52*E34/4.3333)</f>
        <v>0</v>
      </c>
      <c r="G34" s="69">
        <v>0</v>
      </c>
      <c r="J34" s="161">
        <f>ROUND(G34*E34,0)</f>
        <v>0</v>
      </c>
      <c r="K34" s="198">
        <f>ROUND(J34*'RATES-Non Fed'!E43,0)</f>
        <v>0</v>
      </c>
      <c r="L34" s="50">
        <f>SUM(J34:K34)</f>
        <v>0</v>
      </c>
      <c r="M34" s="161">
        <f>ROUND((J34*1.02),0)</f>
        <v>0</v>
      </c>
      <c r="N34" s="198">
        <f>ROUND(M34*'RATES-Non Fed'!G43,0)</f>
        <v>0</v>
      </c>
      <c r="O34" s="50">
        <f>SUM(M34:N34)</f>
        <v>0</v>
      </c>
      <c r="P34" s="161">
        <f>ROUND((M34*1.02),0)</f>
        <v>0</v>
      </c>
      <c r="Q34" s="198">
        <f>ROUND(P34*'RATES-Non Fed'!I43,0)</f>
        <v>0</v>
      </c>
      <c r="R34" s="50">
        <f>SUM(P34:Q34)</f>
        <v>0</v>
      </c>
      <c r="S34" s="161">
        <f>ROUND((P34*1.02),0)</f>
        <v>0</v>
      </c>
      <c r="T34" s="198">
        <f>ROUND(S34*'RATES-Non Fed'!K43,0)</f>
        <v>0</v>
      </c>
      <c r="U34" s="50">
        <f>SUM(S34:T34)</f>
        <v>0</v>
      </c>
      <c r="V34" s="42">
        <f>SUM(L34+O34+R34+U34)</f>
        <v>0</v>
      </c>
    </row>
    <row r="35" spans="1:22" ht="15.75">
      <c r="A35" s="1"/>
      <c r="C35" s="13" t="s">
        <v>18</v>
      </c>
      <c r="D35" s="1"/>
      <c r="E35" s="70">
        <v>0</v>
      </c>
      <c r="F35" s="88">
        <f>SUM(52*E35/4.3333)</f>
        <v>0</v>
      </c>
      <c r="G35" s="69">
        <v>0</v>
      </c>
      <c r="J35" s="161">
        <f>ROUND(G35*E35,0)</f>
        <v>0</v>
      </c>
      <c r="K35" s="198">
        <f>ROUND(J35*'RATES-Non Fed'!E42,0)</f>
        <v>0</v>
      </c>
      <c r="L35" s="50">
        <f>SUM(J35:K35)</f>
        <v>0</v>
      </c>
      <c r="M35" s="161">
        <f>ROUND((J35*1.02),0)</f>
        <v>0</v>
      </c>
      <c r="N35" s="198">
        <f>ROUND(M35*'RATES-Non Fed'!G42,0)</f>
        <v>0</v>
      </c>
      <c r="O35" s="50">
        <f>SUM(M35:N35)</f>
        <v>0</v>
      </c>
      <c r="P35" s="161">
        <f>ROUND((M35*1.02),0)</f>
        <v>0</v>
      </c>
      <c r="Q35" s="198">
        <f>ROUND(P35*'RATES-Non Fed'!I42,0)</f>
        <v>0</v>
      </c>
      <c r="R35" s="50">
        <f>SUM(P35:Q35)</f>
        <v>0</v>
      </c>
      <c r="S35" s="161">
        <f>ROUND((P35*1.02),0)</f>
        <v>0</v>
      </c>
      <c r="T35" s="198">
        <f>ROUND(S35*'RATES-Non Fed'!K42,0)</f>
        <v>0</v>
      </c>
      <c r="U35" s="50">
        <f>SUM(S35:T35)</f>
        <v>0</v>
      </c>
      <c r="V35" s="42">
        <f>SUM(L35+O35+R35+U35)</f>
        <v>0</v>
      </c>
    </row>
    <row r="36" spans="1:22" ht="15.75">
      <c r="A36" s="1"/>
      <c r="C36" s="13" t="s">
        <v>19</v>
      </c>
      <c r="D36" s="1"/>
      <c r="E36" s="70">
        <v>0</v>
      </c>
      <c r="F36" s="88">
        <f>SUM(52*E36/4.3333)</f>
        <v>0</v>
      </c>
      <c r="G36" s="69">
        <v>0</v>
      </c>
      <c r="J36" s="161">
        <f>ROUND(G36*E36,0)</f>
        <v>0</v>
      </c>
      <c r="K36" s="198">
        <f>ROUND(J36*'RATES-Non Fed'!E42,0)</f>
        <v>0</v>
      </c>
      <c r="L36" s="50">
        <f>SUM(J36:K36)</f>
        <v>0</v>
      </c>
      <c r="M36" s="161">
        <f>ROUND((J36*1.02),0)</f>
        <v>0</v>
      </c>
      <c r="N36" s="198">
        <f>ROUND(M36*'RATES-Non Fed'!G42,0)</f>
        <v>0</v>
      </c>
      <c r="O36" s="50">
        <f>SUM(M36:N36)</f>
        <v>0</v>
      </c>
      <c r="P36" s="161">
        <f>ROUND((M36*1.02),0)</f>
        <v>0</v>
      </c>
      <c r="Q36" s="198">
        <f>ROUND(P36*'RATES-Non Fed'!I42,0)</f>
        <v>0</v>
      </c>
      <c r="R36" s="50">
        <f>SUM(P36:Q36)</f>
        <v>0</v>
      </c>
      <c r="S36" s="161">
        <f>ROUND((P36*1.02),0)</f>
        <v>0</v>
      </c>
      <c r="T36" s="198">
        <f>ROUND(S36*'RATES-Non Fed'!K42,0)</f>
        <v>0</v>
      </c>
      <c r="U36" s="50">
        <f>SUM(S36:T36)</f>
        <v>0</v>
      </c>
      <c r="V36" s="42">
        <f>SUM(L36+O36+R36+U36)</f>
        <v>0</v>
      </c>
    </row>
    <row r="37" spans="1:22" s="84" customFormat="1" ht="15.75">
      <c r="A37" s="117"/>
      <c r="C37" s="116" t="s">
        <v>20</v>
      </c>
      <c r="D37" s="117"/>
      <c r="E37" s="70">
        <v>0</v>
      </c>
      <c r="F37" s="88">
        <f>SUM(52*E37/4.3333)</f>
        <v>0</v>
      </c>
      <c r="G37" s="69">
        <v>0</v>
      </c>
      <c r="J37" s="161">
        <f>ROUND(G37*E37,0)</f>
        <v>0</v>
      </c>
      <c r="K37" s="198">
        <f>ROUND(J37*'RATES-Non Fed'!E43,0)</f>
        <v>0</v>
      </c>
      <c r="L37" s="50">
        <f>SUM(J37:K37)</f>
        <v>0</v>
      </c>
      <c r="M37" s="161">
        <f>ROUND((J37*1.02),0)</f>
        <v>0</v>
      </c>
      <c r="N37" s="198">
        <f>ROUND(M37*'RATES-Non Fed'!G43,0)</f>
        <v>0</v>
      </c>
      <c r="O37" s="50">
        <f>SUM(M37:N37)</f>
        <v>0</v>
      </c>
      <c r="P37" s="161">
        <f>ROUND((M37*1.02),0)</f>
        <v>0</v>
      </c>
      <c r="Q37" s="198">
        <f>ROUND(P37*'RATES-Non Fed'!I43,0)</f>
        <v>0</v>
      </c>
      <c r="R37" s="50">
        <f>SUM(P37:Q37)</f>
        <v>0</v>
      </c>
      <c r="S37" s="161">
        <f>ROUND((P37*1.02),0)</f>
        <v>0</v>
      </c>
      <c r="T37" s="198">
        <f>ROUND(S37*'RATES-Non Fed'!K43,0)</f>
        <v>0</v>
      </c>
      <c r="U37" s="50">
        <f>SUM(S37:T37)</f>
        <v>0</v>
      </c>
      <c r="V37" s="42">
        <f>SUM(L37+O37+R37+U37)</f>
        <v>0</v>
      </c>
    </row>
    <row r="38" spans="1:23" s="84" customFormat="1" ht="15.75">
      <c r="A38" s="117"/>
      <c r="C38" s="116" t="s">
        <v>89</v>
      </c>
      <c r="D38" s="117"/>
      <c r="E38" s="70">
        <v>0</v>
      </c>
      <c r="F38" s="88">
        <f>SUM(52*E38/4.3333)</f>
        <v>0</v>
      </c>
      <c r="G38" s="69">
        <v>0</v>
      </c>
      <c r="J38" s="176">
        <f>ROUND(G38*E38,0)</f>
        <v>0</v>
      </c>
      <c r="K38" s="177">
        <f>ROUND(J38*'RATES-Non Fed'!E41,0)</f>
        <v>0</v>
      </c>
      <c r="L38" s="178">
        <f>SUM(J38:K38)</f>
        <v>0</v>
      </c>
      <c r="M38" s="176">
        <f>ROUND((J38*1.02),0)</f>
        <v>0</v>
      </c>
      <c r="N38" s="184">
        <f>ROUND(M38*'RATES-Non Fed'!G41,0)</f>
        <v>0</v>
      </c>
      <c r="O38" s="178">
        <f>SUM(M38:N38)</f>
        <v>0</v>
      </c>
      <c r="P38" s="176">
        <f>ROUND((M38*1.02),0)</f>
        <v>0</v>
      </c>
      <c r="Q38" s="184">
        <f>ROUND(P38*'RATES-Non Fed'!I41,0)</f>
        <v>0</v>
      </c>
      <c r="R38" s="178">
        <f>SUM(P38:Q38)</f>
        <v>0</v>
      </c>
      <c r="S38" s="176">
        <f>ROUND((P38*1.02),0)</f>
        <v>0</v>
      </c>
      <c r="T38" s="184">
        <f>ROUND(S38*'RATES-Non Fed'!K41,0)</f>
        <v>0</v>
      </c>
      <c r="U38" s="178">
        <f>SUM(S38:T38)</f>
        <v>0</v>
      </c>
      <c r="V38" s="179">
        <f>SUM(L38+O38+R38+U38)</f>
        <v>0</v>
      </c>
      <c r="W38" s="205"/>
    </row>
    <row r="39" spans="1:22" ht="15.75">
      <c r="A39" s="1"/>
      <c r="B39" s="1"/>
      <c r="C39" s="1"/>
      <c r="D39" s="162" t="s">
        <v>152</v>
      </c>
      <c r="E39" s="26"/>
      <c r="F39" s="26"/>
      <c r="G39" s="1"/>
      <c r="H39" s="1"/>
      <c r="I39" s="1"/>
      <c r="J39" s="183">
        <f aca="true" t="shared" si="13" ref="J39:U39">SUM(J19+J25+J32+J34+J35+J36+J37+J38)</f>
        <v>0</v>
      </c>
      <c r="K39" s="198">
        <f t="shared" si="13"/>
        <v>0</v>
      </c>
      <c r="L39" s="50">
        <f t="shared" si="13"/>
        <v>0</v>
      </c>
      <c r="M39" s="183">
        <f t="shared" si="13"/>
        <v>0</v>
      </c>
      <c r="N39" s="198">
        <f t="shared" si="13"/>
        <v>0</v>
      </c>
      <c r="O39" s="50">
        <f t="shared" si="13"/>
        <v>0</v>
      </c>
      <c r="P39" s="183">
        <f t="shared" si="13"/>
        <v>0</v>
      </c>
      <c r="Q39" s="198">
        <f t="shared" si="13"/>
        <v>0</v>
      </c>
      <c r="R39" s="50">
        <f t="shared" si="13"/>
        <v>0</v>
      </c>
      <c r="S39" s="183">
        <f t="shared" si="13"/>
        <v>0</v>
      </c>
      <c r="T39" s="198">
        <f t="shared" si="13"/>
        <v>0</v>
      </c>
      <c r="U39" s="50">
        <f t="shared" si="13"/>
        <v>0</v>
      </c>
      <c r="V39" s="42">
        <f>SUM(V34:V38)</f>
        <v>0</v>
      </c>
    </row>
    <row r="40" spans="1:23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30"/>
      <c r="L40" s="150"/>
      <c r="M40" s="64"/>
      <c r="P40" s="64"/>
      <c r="Q40" s="130"/>
      <c r="R40" s="46"/>
      <c r="S40" s="64"/>
      <c r="T40" s="130"/>
      <c r="U40" s="46"/>
      <c r="V40" s="64" t="s">
        <v>1</v>
      </c>
      <c r="W40" s="6"/>
    </row>
    <row r="41" spans="1:23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32"/>
      <c r="L41" s="152"/>
      <c r="M41" s="47">
        <f>SUM(M39+N39)</f>
        <v>0</v>
      </c>
      <c r="N41" s="132"/>
      <c r="O41" s="118"/>
      <c r="P41" s="47">
        <f>SUM(P39+Q39)</f>
        <v>0</v>
      </c>
      <c r="Q41" s="132"/>
      <c r="R41" s="118"/>
      <c r="S41" s="47">
        <f>SUM(S39+T39)</f>
        <v>0</v>
      </c>
      <c r="T41" s="132"/>
      <c r="U41" s="118"/>
      <c r="V41" s="47">
        <f>SUM(J41+M41+P41+S41)</f>
        <v>0</v>
      </c>
      <c r="W41" s="29"/>
    </row>
    <row r="42" spans="1:23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30"/>
      <c r="L42" s="150"/>
      <c r="M42" s="46"/>
      <c r="N42" s="130"/>
      <c r="O42" s="46"/>
      <c r="P42" s="46"/>
      <c r="Q42" s="130"/>
      <c r="R42" s="46"/>
      <c r="S42" s="46"/>
      <c r="T42" s="130"/>
      <c r="U42" s="46"/>
      <c r="V42" s="46" t="s">
        <v>1</v>
      </c>
      <c r="W42" s="6"/>
    </row>
    <row r="43" spans="1:23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30"/>
      <c r="L43" s="150"/>
      <c r="M43" s="50"/>
      <c r="N43" s="130"/>
      <c r="O43" s="46"/>
      <c r="P43" s="50"/>
      <c r="Q43" s="130"/>
      <c r="R43" s="46"/>
      <c r="S43" s="50"/>
      <c r="T43" s="130"/>
      <c r="U43" s="46"/>
      <c r="V43" s="50" t="s">
        <v>1</v>
      </c>
      <c r="W43" s="6"/>
    </row>
    <row r="44" spans="1:23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30"/>
      <c r="L44" s="150"/>
      <c r="M44" s="42">
        <v>0</v>
      </c>
      <c r="N44" s="131"/>
      <c r="O44" s="50"/>
      <c r="P44" s="42">
        <v>0</v>
      </c>
      <c r="Q44" s="131"/>
      <c r="R44" s="50"/>
      <c r="S44" s="42">
        <v>0</v>
      </c>
      <c r="T44" s="131"/>
      <c r="U44" s="50"/>
      <c r="V44" s="42">
        <f>SUM(J44:U44)</f>
        <v>0</v>
      </c>
      <c r="W44" s="6"/>
    </row>
    <row r="45" spans="1:23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30"/>
      <c r="L45" s="150"/>
      <c r="M45" s="42">
        <v>0</v>
      </c>
      <c r="N45" s="131"/>
      <c r="O45" s="50"/>
      <c r="P45" s="42">
        <v>0</v>
      </c>
      <c r="Q45" s="131"/>
      <c r="R45" s="50"/>
      <c r="S45" s="42">
        <v>0</v>
      </c>
      <c r="T45" s="131"/>
      <c r="U45" s="50"/>
      <c r="V45" s="42">
        <f>SUM(J45:U45)</f>
        <v>0</v>
      </c>
      <c r="W45" s="6"/>
    </row>
    <row r="46" spans="1:23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33"/>
      <c r="L46" s="153"/>
      <c r="M46" s="53">
        <f>SUM(M44:M45)</f>
        <v>0</v>
      </c>
      <c r="N46" s="133"/>
      <c r="O46" s="48"/>
      <c r="P46" s="53">
        <f>SUM(P44:P45)</f>
        <v>0</v>
      </c>
      <c r="Q46" s="133"/>
      <c r="R46" s="48"/>
      <c r="S46" s="53">
        <f>SUM(S44:S45)</f>
        <v>0</v>
      </c>
      <c r="T46" s="133"/>
      <c r="U46" s="48"/>
      <c r="V46" s="53">
        <f>SUM(J46:U46)</f>
        <v>0</v>
      </c>
      <c r="W46" s="29"/>
    </row>
    <row r="47" spans="1:23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30"/>
      <c r="L47" s="150"/>
      <c r="M47" s="46"/>
      <c r="N47" s="130"/>
      <c r="O47" s="46"/>
      <c r="P47" s="46"/>
      <c r="Q47" s="130"/>
      <c r="R47" s="46"/>
      <c r="S47" s="46"/>
      <c r="T47" s="130"/>
      <c r="U47" s="46"/>
      <c r="V47" s="46"/>
      <c r="W47" s="6"/>
    </row>
    <row r="48" spans="1:23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31"/>
      <c r="L48" s="151"/>
      <c r="M48" s="45" t="s">
        <v>1</v>
      </c>
      <c r="N48" s="131"/>
      <c r="O48" s="50"/>
      <c r="P48" s="45" t="s">
        <v>1</v>
      </c>
      <c r="Q48" s="131"/>
      <c r="R48" s="50"/>
      <c r="S48" s="45" t="s">
        <v>1</v>
      </c>
      <c r="T48" s="131"/>
      <c r="U48" s="50"/>
      <c r="V48" s="45"/>
      <c r="W48" s="5"/>
    </row>
    <row r="49" spans="1:23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31"/>
      <c r="L49" s="151"/>
      <c r="M49" s="42">
        <f>ROUND((J49*1.02),0)</f>
        <v>0</v>
      </c>
      <c r="N49" s="141"/>
      <c r="O49" s="122"/>
      <c r="P49" s="42">
        <f>ROUND((M49*1.02),0)</f>
        <v>0</v>
      </c>
      <c r="Q49" s="141"/>
      <c r="R49" s="122"/>
      <c r="S49" s="42">
        <f>ROUND((P49*1.02),0)</f>
        <v>0</v>
      </c>
      <c r="T49" s="141"/>
      <c r="U49" s="122"/>
      <c r="V49" s="42">
        <f>SUM(J49:U49)</f>
        <v>0</v>
      </c>
      <c r="W49" s="5"/>
    </row>
    <row r="50" spans="1:23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31"/>
      <c r="L50" s="151"/>
      <c r="M50" s="42">
        <f>ROUND((J50*1.02),0)</f>
        <v>0</v>
      </c>
      <c r="N50" s="141"/>
      <c r="O50" s="122"/>
      <c r="P50" s="42">
        <f>ROUND((M50*1.02),0)</f>
        <v>0</v>
      </c>
      <c r="Q50" s="141"/>
      <c r="R50" s="122"/>
      <c r="S50" s="42">
        <f>ROUND((P50*1.02),0)</f>
        <v>0</v>
      </c>
      <c r="T50" s="141"/>
      <c r="U50" s="122"/>
      <c r="V50" s="42">
        <f>SUM(J50:U50)</f>
        <v>0</v>
      </c>
      <c r="W50" s="5"/>
    </row>
    <row r="51" spans="1:23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33"/>
      <c r="L51" s="153"/>
      <c r="M51" s="55">
        <f>SUM(M49:M50)</f>
        <v>0</v>
      </c>
      <c r="N51" s="133"/>
      <c r="O51" s="48"/>
      <c r="P51" s="55">
        <f>SUM(P49:P50)</f>
        <v>0</v>
      </c>
      <c r="Q51" s="133"/>
      <c r="R51" s="48"/>
      <c r="S51" s="55">
        <f>SUM(S49:S50)</f>
        <v>0</v>
      </c>
      <c r="T51" s="133"/>
      <c r="U51" s="48"/>
      <c r="V51" s="55">
        <f>SUM(J51:U51)</f>
        <v>0</v>
      </c>
      <c r="W51" s="29"/>
    </row>
    <row r="52" spans="1:23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30"/>
      <c r="L52" s="150"/>
      <c r="M52" s="42"/>
      <c r="N52" s="130"/>
      <c r="O52" s="46"/>
      <c r="P52" s="42"/>
      <c r="Q52" s="130"/>
      <c r="R52" s="46"/>
      <c r="S52" s="42"/>
      <c r="T52" s="130"/>
      <c r="U52" s="46"/>
      <c r="V52" s="42"/>
      <c r="W52" s="6"/>
    </row>
    <row r="53" spans="1:23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31"/>
      <c r="L53" s="151"/>
      <c r="M53" s="42" t="s">
        <v>1</v>
      </c>
      <c r="N53" s="131"/>
      <c r="O53" s="50"/>
      <c r="P53" s="42" t="s">
        <v>1</v>
      </c>
      <c r="Q53" s="131"/>
      <c r="R53" s="50"/>
      <c r="S53" s="42" t="s">
        <v>1</v>
      </c>
      <c r="T53" s="131"/>
      <c r="U53" s="50"/>
      <c r="V53" s="42"/>
      <c r="W53" s="5"/>
    </row>
    <row r="54" spans="1:23" ht="15.75">
      <c r="A54" s="21"/>
      <c r="B54" s="21"/>
      <c r="C54" s="13" t="s">
        <v>35</v>
      </c>
      <c r="D54" s="3"/>
      <c r="E54" s="31"/>
      <c r="F54" s="31"/>
      <c r="J54" s="42">
        <v>0</v>
      </c>
      <c r="K54" s="131"/>
      <c r="L54" s="151"/>
      <c r="M54" s="42">
        <f>ROUND((J54*1.02),0)</f>
        <v>0</v>
      </c>
      <c r="N54" s="141"/>
      <c r="O54" s="122"/>
      <c r="P54" s="42">
        <f>ROUND((M54*1.02),0)</f>
        <v>0</v>
      </c>
      <c r="Q54" s="141"/>
      <c r="R54" s="122"/>
      <c r="S54" s="42">
        <f>ROUND((P54*1.02),0)</f>
        <v>0</v>
      </c>
      <c r="T54" s="141"/>
      <c r="U54" s="122"/>
      <c r="V54" s="42">
        <f aca="true" t="shared" si="14" ref="V54:V65">SUM(J54:U54)</f>
        <v>0</v>
      </c>
      <c r="W54" s="5"/>
    </row>
    <row r="55" spans="1:23" ht="15.75">
      <c r="A55" s="21"/>
      <c r="B55" s="21"/>
      <c r="C55" s="13" t="s">
        <v>36</v>
      </c>
      <c r="D55" s="3"/>
      <c r="E55" s="31"/>
      <c r="F55" s="31"/>
      <c r="J55" s="42">
        <v>0</v>
      </c>
      <c r="K55" s="131"/>
      <c r="L55" s="151"/>
      <c r="M55" s="42">
        <f aca="true" t="shared" si="15" ref="M55:M60">ROUND((J55*1.02),0)</f>
        <v>0</v>
      </c>
      <c r="N55" s="141"/>
      <c r="O55" s="122"/>
      <c r="P55" s="42">
        <f aca="true" t="shared" si="16" ref="P55:P60">ROUND((M55*1.02),0)</f>
        <v>0</v>
      </c>
      <c r="Q55" s="141"/>
      <c r="R55" s="122"/>
      <c r="S55" s="42">
        <f aca="true" t="shared" si="17" ref="S55:S60">ROUND((P55*1.02),0)</f>
        <v>0</v>
      </c>
      <c r="T55" s="141"/>
      <c r="U55" s="122"/>
      <c r="V55" s="42">
        <f t="shared" si="14"/>
        <v>0</v>
      </c>
      <c r="W55" s="5"/>
    </row>
    <row r="56" spans="1:23" ht="15.75">
      <c r="A56" s="21"/>
      <c r="B56" s="21"/>
      <c r="C56" s="13" t="s">
        <v>37</v>
      </c>
      <c r="D56" s="3"/>
      <c r="E56" s="31"/>
      <c r="F56" s="31"/>
      <c r="J56" s="42">
        <v>0</v>
      </c>
      <c r="K56" s="131"/>
      <c r="L56" s="151"/>
      <c r="M56" s="42">
        <f t="shared" si="15"/>
        <v>0</v>
      </c>
      <c r="N56" s="141"/>
      <c r="O56" s="122"/>
      <c r="P56" s="42">
        <f t="shared" si="16"/>
        <v>0</v>
      </c>
      <c r="Q56" s="142"/>
      <c r="R56" s="42"/>
      <c r="S56" s="42">
        <f t="shared" si="17"/>
        <v>0</v>
      </c>
      <c r="T56" s="142"/>
      <c r="U56" s="42"/>
      <c r="V56" s="42">
        <f t="shared" si="14"/>
        <v>0</v>
      </c>
      <c r="W56" s="5"/>
    </row>
    <row r="57" spans="1:23" ht="15.75">
      <c r="A57" s="21"/>
      <c r="B57" s="21"/>
      <c r="C57" s="13" t="s">
        <v>38</v>
      </c>
      <c r="D57" s="3"/>
      <c r="E57" s="31"/>
      <c r="F57" s="31"/>
      <c r="J57" s="42">
        <v>0</v>
      </c>
      <c r="K57" s="131"/>
      <c r="L57" s="151"/>
      <c r="M57" s="42">
        <f t="shared" si="15"/>
        <v>0</v>
      </c>
      <c r="N57" s="141"/>
      <c r="O57" s="122"/>
      <c r="P57" s="42">
        <f t="shared" si="16"/>
        <v>0</v>
      </c>
      <c r="Q57" s="141"/>
      <c r="R57" s="122"/>
      <c r="S57" s="42">
        <f t="shared" si="17"/>
        <v>0</v>
      </c>
      <c r="T57" s="141"/>
      <c r="U57" s="122"/>
      <c r="V57" s="42">
        <f t="shared" si="14"/>
        <v>0</v>
      </c>
      <c r="W57" s="5"/>
    </row>
    <row r="58" spans="1:23" ht="15.75">
      <c r="A58" s="21"/>
      <c r="B58" s="21"/>
      <c r="C58" s="193" t="s">
        <v>102</v>
      </c>
      <c r="D58" s="3"/>
      <c r="E58" s="31"/>
      <c r="F58" s="31"/>
      <c r="J58" s="42">
        <v>0</v>
      </c>
      <c r="K58" s="131"/>
      <c r="L58" s="151"/>
      <c r="M58" s="42">
        <f t="shared" si="15"/>
        <v>0</v>
      </c>
      <c r="N58" s="141"/>
      <c r="O58" s="122"/>
      <c r="P58" s="42">
        <f t="shared" si="16"/>
        <v>0</v>
      </c>
      <c r="Q58" s="141"/>
      <c r="R58" s="122"/>
      <c r="S58" s="42">
        <f t="shared" si="17"/>
        <v>0</v>
      </c>
      <c r="T58" s="141"/>
      <c r="U58" s="122"/>
      <c r="V58" s="42">
        <f t="shared" si="14"/>
        <v>0</v>
      </c>
      <c r="W58" s="5"/>
    </row>
    <row r="59" spans="1:23" ht="15.75">
      <c r="A59" s="21"/>
      <c r="B59" s="21"/>
      <c r="C59" s="13" t="s">
        <v>188</v>
      </c>
      <c r="D59" s="3"/>
      <c r="E59" s="31"/>
      <c r="F59" s="31"/>
      <c r="J59" s="42">
        <v>0</v>
      </c>
      <c r="K59" s="131"/>
      <c r="L59" s="151"/>
      <c r="M59" s="42">
        <f t="shared" si="15"/>
        <v>0</v>
      </c>
      <c r="N59" s="142"/>
      <c r="O59" s="42"/>
      <c r="P59" s="42">
        <f t="shared" si="16"/>
        <v>0</v>
      </c>
      <c r="Q59" s="142"/>
      <c r="R59" s="42"/>
      <c r="S59" s="42">
        <f t="shared" si="17"/>
        <v>0</v>
      </c>
      <c r="T59" s="142"/>
      <c r="U59" s="42"/>
      <c r="V59" s="42">
        <f t="shared" si="14"/>
        <v>0</v>
      </c>
      <c r="W59" s="5"/>
    </row>
    <row r="60" spans="1:23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31"/>
      <c r="L60" s="151"/>
      <c r="M60" s="42">
        <f t="shared" si="15"/>
        <v>0</v>
      </c>
      <c r="N60" s="142"/>
      <c r="O60" s="42"/>
      <c r="P60" s="42">
        <f t="shared" si="16"/>
        <v>0</v>
      </c>
      <c r="Q60" s="142"/>
      <c r="R60" s="42"/>
      <c r="S60" s="42">
        <f t="shared" si="17"/>
        <v>0</v>
      </c>
      <c r="T60" s="142"/>
      <c r="U60" s="42"/>
      <c r="V60" s="42">
        <f t="shared" si="14"/>
        <v>0</v>
      </c>
      <c r="W60" s="5"/>
    </row>
    <row r="61" spans="1:24" ht="15.75">
      <c r="A61" s="21"/>
      <c r="B61" s="21"/>
      <c r="C61" s="22" t="s">
        <v>40</v>
      </c>
      <c r="D61" s="10"/>
      <c r="E61" s="31"/>
      <c r="F61" s="31"/>
      <c r="J61" s="42">
        <v>0</v>
      </c>
      <c r="K61" s="131"/>
      <c r="L61" s="151"/>
      <c r="M61" s="42">
        <v>0</v>
      </c>
      <c r="N61" s="141"/>
      <c r="O61" s="122"/>
      <c r="P61" s="42">
        <v>0</v>
      </c>
      <c r="Q61" s="141"/>
      <c r="R61" s="122"/>
      <c r="S61" s="42">
        <v>0</v>
      </c>
      <c r="T61" s="141"/>
      <c r="U61" s="122"/>
      <c r="V61" s="42">
        <f t="shared" si="14"/>
        <v>0</v>
      </c>
      <c r="W61" s="5"/>
      <c r="X61" s="76"/>
    </row>
    <row r="62" spans="1:24" ht="15.75">
      <c r="A62" s="21"/>
      <c r="B62" s="21"/>
      <c r="C62" s="63" t="s">
        <v>41</v>
      </c>
      <c r="D62" s="10"/>
      <c r="E62" s="31"/>
      <c r="F62" s="31"/>
      <c r="J62" s="42">
        <v>0</v>
      </c>
      <c r="K62" s="131"/>
      <c r="L62" s="151"/>
      <c r="M62" s="42">
        <v>0</v>
      </c>
      <c r="N62" s="141"/>
      <c r="O62" s="122"/>
      <c r="P62" s="42">
        <v>0</v>
      </c>
      <c r="Q62" s="141"/>
      <c r="R62" s="122"/>
      <c r="S62" s="42">
        <v>0</v>
      </c>
      <c r="T62" s="141"/>
      <c r="U62" s="122"/>
      <c r="V62" s="42">
        <f t="shared" si="14"/>
        <v>0</v>
      </c>
      <c r="W62" s="5"/>
      <c r="X62" s="76"/>
    </row>
    <row r="63" spans="1:24" ht="15.75">
      <c r="A63" s="21"/>
      <c r="B63" s="21"/>
      <c r="C63" s="63" t="s">
        <v>94</v>
      </c>
      <c r="D63" s="10"/>
      <c r="E63" s="31"/>
      <c r="F63" s="31"/>
      <c r="J63" s="42">
        <v>0</v>
      </c>
      <c r="K63" s="131"/>
      <c r="L63" s="151"/>
      <c r="M63" s="42">
        <v>0</v>
      </c>
      <c r="N63" s="141"/>
      <c r="O63" s="122"/>
      <c r="P63" s="42">
        <v>0</v>
      </c>
      <c r="Q63" s="141"/>
      <c r="R63" s="122"/>
      <c r="S63" s="42">
        <v>0</v>
      </c>
      <c r="T63" s="141"/>
      <c r="U63" s="122"/>
      <c r="V63" s="42">
        <f t="shared" si="14"/>
        <v>0</v>
      </c>
      <c r="W63" s="5"/>
      <c r="X63" s="76"/>
    </row>
    <row r="64" spans="1:24" ht="15">
      <c r="A64" s="21"/>
      <c r="B64" s="21"/>
      <c r="C64" s="63" t="s">
        <v>95</v>
      </c>
      <c r="D64" s="10"/>
      <c r="E64" s="31"/>
      <c r="F64" s="31"/>
      <c r="J64" s="42">
        <v>0</v>
      </c>
      <c r="K64" s="131"/>
      <c r="L64" s="151"/>
      <c r="M64" s="42">
        <v>0</v>
      </c>
      <c r="N64" s="141"/>
      <c r="O64" s="122"/>
      <c r="P64" s="42">
        <v>0</v>
      </c>
      <c r="Q64" s="141"/>
      <c r="R64" s="122"/>
      <c r="S64" s="42">
        <v>0</v>
      </c>
      <c r="T64" s="141"/>
      <c r="U64" s="122"/>
      <c r="V64" s="42">
        <f t="shared" si="14"/>
        <v>0</v>
      </c>
      <c r="W64" s="5"/>
      <c r="X64" s="76"/>
    </row>
    <row r="65" spans="1:24" ht="1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34"/>
      <c r="L65" s="154"/>
      <c r="M65" s="43">
        <f>SUM(M54:M64)</f>
        <v>0</v>
      </c>
      <c r="N65" s="134"/>
      <c r="O65" s="44"/>
      <c r="P65" s="43">
        <f>SUM(P54:P64)</f>
        <v>0</v>
      </c>
      <c r="Q65" s="134"/>
      <c r="R65" s="44"/>
      <c r="S65" s="43">
        <f>SUM(S54:S64)</f>
        <v>0</v>
      </c>
      <c r="T65" s="134"/>
      <c r="U65" s="44"/>
      <c r="V65" s="43">
        <f t="shared" si="14"/>
        <v>0</v>
      </c>
      <c r="W65" s="34"/>
      <c r="X65" s="76"/>
    </row>
    <row r="66" spans="1:23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30"/>
      <c r="L66" s="150"/>
      <c r="M66" s="46"/>
      <c r="N66" s="130"/>
      <c r="O66" s="46"/>
      <c r="P66" s="46"/>
      <c r="Q66" s="130"/>
      <c r="R66" s="46"/>
      <c r="S66" s="46"/>
      <c r="T66" s="130"/>
      <c r="U66" s="46"/>
      <c r="V66" s="46" t="s">
        <v>1</v>
      </c>
      <c r="W66" s="6"/>
    </row>
    <row r="67" spans="1:23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35"/>
      <c r="L67" s="155"/>
      <c r="M67" s="65">
        <f>ROUND(+M65+M51+M46+M41,0)</f>
        <v>0</v>
      </c>
      <c r="N67" s="135"/>
      <c r="O67" s="65"/>
      <c r="P67" s="65">
        <f>ROUND(+P65+P51+P46+P41,0)</f>
        <v>0</v>
      </c>
      <c r="Q67" s="135"/>
      <c r="R67" s="65"/>
      <c r="S67" s="65">
        <f>ROUND(+S65+S51+S46+S41,0)</f>
        <v>0</v>
      </c>
      <c r="T67" s="135"/>
      <c r="U67" s="65"/>
      <c r="V67" s="65">
        <f>SUM(J67:U67)</f>
        <v>0</v>
      </c>
      <c r="W67" s="34"/>
    </row>
    <row r="68" spans="1:22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35"/>
      <c r="L68" s="155"/>
      <c r="M68" s="65"/>
      <c r="N68" s="143"/>
      <c r="O68" s="170"/>
      <c r="P68" s="65"/>
      <c r="Q68" s="143"/>
      <c r="R68" s="170"/>
      <c r="S68" s="65"/>
      <c r="T68" s="143"/>
      <c r="U68" s="170"/>
      <c r="V68" s="65"/>
    </row>
    <row r="69" spans="1:24" ht="15">
      <c r="A69" s="28"/>
      <c r="B69" s="28"/>
      <c r="C69" s="28"/>
      <c r="D69" s="21"/>
      <c r="G69" s="39"/>
      <c r="H69" s="86" t="s">
        <v>117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36"/>
      <c r="L69" s="156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36"/>
      <c r="O69" s="171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64)</f>
        <v>0</v>
      </c>
      <c r="Q69" s="136"/>
      <c r="R69" s="171"/>
      <c r="S69" s="74">
        <f>IF(J61&gt;=(25000),0,(((IF((J61+M61)&gt;=(25000),0,((IF((J61+M61+P61)&gt;=(25000),0,(IF((J61+M61+P61+S61)&lt;=(25000),S61,(25000-SUM(J61+M61+P61))))))))))))+IF(J62&gt;=(25000),0,(((IF((J62+M62)&gt;=(25000),0,((IF((J62+M62+P62)&gt;=(25000),0,(IF((J62+M62+P62+S62)&lt;=(25000),S62,(25000-SUM(J62+M62+P62))))))))))))+IF(J63&gt;=(25000),0,(((IF((J63+M63)&gt;=(25000),0,((IF((J63+M63+P63)&gt;=(25000),0,(IF((J63+M63+P63+S63)&lt;=(25000),S63,(25000-SUM(J63+M63+P63))))))))))))+IF(J64&gt;=(25000),0,(((IF((J64+M64)&gt;=(25000),0,((IF((J64+M64+P64)&gt;=(25000),0,(IF((J64+M64+P64+S64)&lt;=(25000),S64,(25000-SUM(J64+M64+P64))))))))))))+SUM(S67-S46-S58-S61-S62-S63-S64)</f>
        <v>0</v>
      </c>
      <c r="T69" s="136"/>
      <c r="U69" s="171"/>
      <c r="V69" s="74">
        <f>SUM(J69:U69)</f>
        <v>0</v>
      </c>
      <c r="X69" s="76"/>
    </row>
    <row r="70" spans="1:25" ht="15">
      <c r="A70" s="33" t="s">
        <v>116</v>
      </c>
      <c r="B70" s="1"/>
      <c r="C70" s="1"/>
      <c r="J70" s="42"/>
      <c r="K70" s="137"/>
      <c r="L70" s="157"/>
      <c r="M70" s="50"/>
      <c r="N70" s="137"/>
      <c r="O70" s="56"/>
      <c r="P70" s="50"/>
      <c r="Q70" s="137"/>
      <c r="R70" s="56"/>
      <c r="S70" s="50"/>
      <c r="T70" s="137"/>
      <c r="U70" s="56"/>
      <c r="V70" s="50"/>
      <c r="W70" s="5"/>
      <c r="Y70" s="75"/>
    </row>
    <row r="71" spans="1:23" ht="15">
      <c r="A71" s="13" t="s">
        <v>119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0.6175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0.62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0.62</v>
      </c>
      <c r="G71" s="7">
        <f>IF(AND(($E$82)="R",($E$84)="C"),('RATES-Non Fed'!K46),IF(AND(($E$82)="R",($E$84)="O"),('RATES-Non Fed'!K51),IF(AND(($E$82)="I",($E$84)="C"),('RATES-Non Fed'!K47),IF(AND(($E$82)="I",($E$84)="O"),('RATES-Non Fed'!K52),IF(AND(($E$82)="P",($E$84)="C"),('RATES-Non Fed'!K48),IF(AND(($E$82)="P",($E$84)="O"),('RATES-Non Fed'!K53),($E$83)))))))</f>
        <v>0.62</v>
      </c>
      <c r="H71" s="7"/>
      <c r="J71" s="50">
        <f>ROUND(+D71*(J67-J46-J61-J62-J63-J64-J58-J59),0)</f>
        <v>0</v>
      </c>
      <c r="K71" s="131"/>
      <c r="L71" s="151"/>
      <c r="M71" s="50">
        <f>ROUND(+E71*(M67-M46-M61-M62-M63-M64-M58-M59),0)</f>
        <v>0</v>
      </c>
      <c r="N71" s="131"/>
      <c r="O71" s="50"/>
      <c r="P71" s="50">
        <f>ROUND(+F71*(P67-P46-P61-P62-P63-P64-P58-P59),0)</f>
        <v>0</v>
      </c>
      <c r="Q71" s="131"/>
      <c r="R71" s="50"/>
      <c r="S71" s="50">
        <f>ROUND(+G71*(S67-S46-S61-S62-S63-S64-S58-S59),0)</f>
        <v>0</v>
      </c>
      <c r="T71" s="131"/>
      <c r="U71" s="50"/>
      <c r="V71" s="50">
        <f aca="true" t="shared" si="18" ref="V71:V76">SUM(J71:U71)</f>
        <v>0</v>
      </c>
      <c r="W71" s="5"/>
    </row>
    <row r="72" spans="1:23" ht="15">
      <c r="A72" s="13" t="s">
        <v>44</v>
      </c>
      <c r="D72" s="7">
        <f aca="true" t="shared" si="19" ref="D72:G74">+D71</f>
        <v>0.6175</v>
      </c>
      <c r="E72" s="7">
        <f t="shared" si="19"/>
        <v>0.62</v>
      </c>
      <c r="F72" s="7">
        <f t="shared" si="19"/>
        <v>0.62</v>
      </c>
      <c r="G72" s="7">
        <f t="shared" si="19"/>
        <v>0.62</v>
      </c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98"/>
      <c r="O72" s="50"/>
      <c r="P72" s="50">
        <f>IF(J61&gt;=(25000),0,(((IF((J61+M61)&gt;=(25000),0,((IF((J61+M61+P61)&lt;=(25000),P61,(25000-SUM(J61+M61)))))))))*F72)</f>
        <v>0</v>
      </c>
      <c r="Q72" s="198"/>
      <c r="R72" s="50"/>
      <c r="S72" s="50">
        <f>IF(J61&gt;=(25000),0,(((IF((J61+M61)&gt;=(25000),0,((IF((J61+M61+P61)&gt;=(25000),0,(IF((J61+M61+P61+S61)&lt;=(25000),S61,(25000-SUM(J61+M61+P61)))))))))))*G72)</f>
        <v>0</v>
      </c>
      <c r="T72" s="131"/>
      <c r="U72" s="50"/>
      <c r="V72" s="50">
        <f t="shared" si="18"/>
        <v>0</v>
      </c>
      <c r="W72" s="5"/>
    </row>
    <row r="73" spans="1:23" ht="15">
      <c r="A73" s="13" t="s">
        <v>45</v>
      </c>
      <c r="D73" s="7">
        <f t="shared" si="19"/>
        <v>0.6175</v>
      </c>
      <c r="E73" s="7">
        <f t="shared" si="19"/>
        <v>0.62</v>
      </c>
      <c r="F73" s="7">
        <f t="shared" si="19"/>
        <v>0.62</v>
      </c>
      <c r="G73" s="7">
        <f t="shared" si="19"/>
        <v>0.62</v>
      </c>
      <c r="H73" s="7"/>
      <c r="J73" s="50">
        <f>(IF((J62)&gt;25000,(25000),J62)*D73)</f>
        <v>0</v>
      </c>
      <c r="K73" s="198"/>
      <c r="L73" s="151"/>
      <c r="M73" s="50">
        <f>IF(J62&gt;=(25000),0,((IF((J62+M62)&lt;=(25000),M62,(25000-J62))))*E73)</f>
        <v>0</v>
      </c>
      <c r="N73" s="198"/>
      <c r="O73" s="50"/>
      <c r="P73" s="50">
        <f>IF(J62&gt;=(25000),0,(((IF((J62+M62)&gt;=(25000),0,((IF((J62+M62+P62)&lt;=(25000),P62,(25000-SUM(J62+M62)))))))))*F73)</f>
        <v>0</v>
      </c>
      <c r="Q73" s="198"/>
      <c r="R73" s="50"/>
      <c r="S73" s="50">
        <f>IF(J62&gt;=(25000),0,(((IF((J62+M62)&gt;=(25000),0,((IF((J62+M62+P62)&gt;=(25000),0,(IF((J62+M62+P62+S62)&lt;=(25000),S62,(25000-SUM(J62+M62+P62)))))))))))*G73)</f>
        <v>0</v>
      </c>
      <c r="T73" s="131"/>
      <c r="U73" s="50"/>
      <c r="V73" s="50">
        <f t="shared" si="18"/>
        <v>0</v>
      </c>
      <c r="W73" s="5"/>
    </row>
    <row r="74" spans="1:23" ht="15">
      <c r="A74" s="13" t="s">
        <v>92</v>
      </c>
      <c r="D74" s="7">
        <f t="shared" si="19"/>
        <v>0.6175</v>
      </c>
      <c r="E74" s="7">
        <f t="shared" si="19"/>
        <v>0.62</v>
      </c>
      <c r="F74" s="7">
        <f t="shared" si="19"/>
        <v>0.62</v>
      </c>
      <c r="G74" s="7">
        <f t="shared" si="19"/>
        <v>0.62</v>
      </c>
      <c r="H74" s="7"/>
      <c r="J74" s="50">
        <f>(IF((J63)&gt;25000,(25000),J63)*D74)</f>
        <v>0</v>
      </c>
      <c r="K74" s="198"/>
      <c r="L74" s="151"/>
      <c r="M74" s="50">
        <f>IF(J63&gt;=(25000),0,((IF((J63+M63)&lt;=(25000),M63,(25000-J63))))*E74)</f>
        <v>0</v>
      </c>
      <c r="N74" s="198"/>
      <c r="O74" s="50"/>
      <c r="P74" s="50">
        <f>IF(J63&gt;=(25000),0,(((IF((J63+M63)&gt;=(25000),0,((IF((J63+M63+P63)&lt;=(25000),P63,(25000-SUM(J63+M63)))))))))*F74)</f>
        <v>0</v>
      </c>
      <c r="Q74" s="198"/>
      <c r="R74" s="50"/>
      <c r="S74" s="50">
        <f>IF(J63&gt;=(25000),0,(((IF((J63+M63)&gt;=(25000),0,((IF((J63+M63+P63)&gt;=(25000),0,(IF((J63+M63+P63+S63)&lt;=(25000),S63,(25000-SUM(J63+M63+P63)))))))))))*G74)</f>
        <v>0</v>
      </c>
      <c r="T74" s="131"/>
      <c r="U74" s="50"/>
      <c r="V74" s="50">
        <f t="shared" si="18"/>
        <v>0</v>
      </c>
      <c r="W74" s="5"/>
    </row>
    <row r="75" spans="1:23" ht="15">
      <c r="A75" s="13" t="s">
        <v>93</v>
      </c>
      <c r="B75" s="1"/>
      <c r="C75" s="1"/>
      <c r="D75" s="7">
        <f>+D72</f>
        <v>0.6175</v>
      </c>
      <c r="E75" s="7">
        <f>+E72</f>
        <v>0.62</v>
      </c>
      <c r="F75" s="7">
        <f>+F72</f>
        <v>0.62</v>
      </c>
      <c r="G75" s="7">
        <f>+G72</f>
        <v>0.62</v>
      </c>
      <c r="H75" s="7"/>
      <c r="J75" s="50">
        <f>(IF((J64)&gt;25000,(25000),J64)*D75)</f>
        <v>0</v>
      </c>
      <c r="K75" s="198"/>
      <c r="L75" s="151"/>
      <c r="M75" s="50">
        <f>IF(J64&gt;=(25000),0,((IF((J64+M64)&lt;=(25000),M64,(25000-J64))))*E75)</f>
        <v>0</v>
      </c>
      <c r="N75" s="198"/>
      <c r="O75" s="50"/>
      <c r="P75" s="50">
        <f>IF(J64&gt;=(25000),0,(((IF((J64+M64)&gt;=(25000),0,((IF((J64+M64+P64)&lt;=(25000),P64,(25000-SUM(J64+M64)))))))))*F75)</f>
        <v>0</v>
      </c>
      <c r="Q75" s="198"/>
      <c r="R75" s="50"/>
      <c r="S75" s="50">
        <f>IF(J64&gt;=(25000),0,(((IF((J64+M64)&gt;=(25000),0,((IF((J64+M64+P64)&gt;=(25000),0,(IF((J64+M64+P64+S64)&lt;=(25000),S64,(25000-SUM(J64+M64+P64)))))))))))*G75)</f>
        <v>0</v>
      </c>
      <c r="T75" s="131"/>
      <c r="U75" s="50"/>
      <c r="V75" s="50">
        <f t="shared" si="18"/>
        <v>0</v>
      </c>
      <c r="W75" s="5"/>
    </row>
    <row r="76" spans="1:23" ht="15">
      <c r="A76" s="40" t="s">
        <v>118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34"/>
      <c r="L76" s="154"/>
      <c r="M76" s="53">
        <f>SUM(M71:M75)</f>
        <v>0</v>
      </c>
      <c r="N76" s="134"/>
      <c r="O76" s="44"/>
      <c r="P76" s="53">
        <f>SUM(P71:P75)</f>
        <v>0</v>
      </c>
      <c r="Q76" s="134"/>
      <c r="R76" s="44"/>
      <c r="S76" s="53">
        <f>SUM(S71:S75)</f>
        <v>0</v>
      </c>
      <c r="T76" s="134"/>
      <c r="U76" s="44"/>
      <c r="V76" s="53">
        <f t="shared" si="18"/>
        <v>0</v>
      </c>
      <c r="W76" s="5"/>
    </row>
    <row r="77" spans="1:23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34"/>
      <c r="L77" s="154"/>
      <c r="M77" s="62"/>
      <c r="N77" s="134"/>
      <c r="O77" s="44"/>
      <c r="P77" s="62"/>
      <c r="Q77" s="134"/>
      <c r="R77" s="44"/>
      <c r="S77" s="62"/>
      <c r="T77" s="134"/>
      <c r="U77" s="44"/>
      <c r="V77" s="62"/>
      <c r="W77" s="5"/>
    </row>
    <row r="78" spans="1:23" ht="18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35"/>
      <c r="L78" s="155"/>
      <c r="M78" s="72">
        <f>M76+M67</f>
        <v>0</v>
      </c>
      <c r="N78" s="135"/>
      <c r="O78" s="65"/>
      <c r="P78" s="72">
        <f>P76+P67</f>
        <v>0</v>
      </c>
      <c r="Q78" s="135"/>
      <c r="R78" s="65"/>
      <c r="S78" s="72">
        <f>S76+S67</f>
        <v>0</v>
      </c>
      <c r="T78" s="135"/>
      <c r="U78" s="65"/>
      <c r="V78" s="72">
        <f>SUM(J78:U78)</f>
        <v>0</v>
      </c>
      <c r="W78" s="5"/>
    </row>
    <row r="79" spans="1:23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31"/>
      <c r="L79" s="151"/>
      <c r="M79" s="50"/>
      <c r="N79" s="131"/>
      <c r="O79" s="50"/>
      <c r="P79" s="50"/>
      <c r="Q79" s="131"/>
      <c r="R79" s="50"/>
      <c r="S79" s="50"/>
      <c r="T79" s="131"/>
      <c r="U79" s="50"/>
      <c r="V79" s="50" t="s">
        <v>1</v>
      </c>
      <c r="W79" s="5"/>
    </row>
    <row r="80" spans="1:23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38"/>
      <c r="L80" s="158"/>
      <c r="M80" s="58"/>
      <c r="N80" s="138"/>
      <c r="O80" s="57"/>
      <c r="P80" s="58"/>
      <c r="Q80" s="138"/>
      <c r="R80" s="57"/>
      <c r="S80" s="58"/>
      <c r="T80" s="138"/>
      <c r="U80" s="57"/>
      <c r="V80" s="58"/>
      <c r="W80" s="1"/>
    </row>
    <row r="81" ht="15">
      <c r="C81" s="36" t="s">
        <v>120</v>
      </c>
    </row>
    <row r="82" spans="3:7" ht="15">
      <c r="C82" s="14" t="s">
        <v>47</v>
      </c>
      <c r="E82" s="15" t="s">
        <v>48</v>
      </c>
      <c r="G82" s="14" t="s">
        <v>49</v>
      </c>
    </row>
    <row r="83" spans="3:6" ht="15">
      <c r="C83" s="14" t="s">
        <v>145</v>
      </c>
      <c r="E83" s="9">
        <v>0.1</v>
      </c>
      <c r="F83" s="9"/>
    </row>
    <row r="84" spans="3:7" ht="15">
      <c r="C84" s="14" t="s">
        <v>50</v>
      </c>
      <c r="E84" s="146" t="s">
        <v>51</v>
      </c>
      <c r="G84" s="14" t="s">
        <v>52</v>
      </c>
    </row>
    <row r="86" spans="4:19" ht="15">
      <c r="D86" s="190" t="s">
        <v>166</v>
      </c>
      <c r="H86" s="188">
        <f>+'RATES-Non Fed'!E31</f>
        <v>0.605</v>
      </c>
      <c r="J86" s="187">
        <f>J76/12*'RATES-Non Fed'!$C$46</f>
        <v>0</v>
      </c>
      <c r="L86" s="188">
        <f>+'RATES-Non Fed'!G31</f>
        <v>0.62</v>
      </c>
      <c r="M86" s="187">
        <f>M76/12*'RATES-Non Fed'!$C$46</f>
        <v>0</v>
      </c>
      <c r="O86" s="189">
        <f>+'RATES-Non Fed'!I31</f>
        <v>0.62</v>
      </c>
      <c r="P86" s="187">
        <f>P76/12*'RATES-Non Fed'!$C$46</f>
        <v>0</v>
      </c>
      <c r="R86" s="189">
        <f>+'RATES-Non Fed'!K31</f>
        <v>0.62</v>
      </c>
      <c r="S86" s="187">
        <f>S76/12*'RATES-Non Fed'!$C$46</f>
        <v>0</v>
      </c>
    </row>
    <row r="87" spans="4:19" ht="15.75" customHeight="1">
      <c r="D87" s="255" t="s">
        <v>167</v>
      </c>
      <c r="E87" s="255"/>
      <c r="F87" s="255"/>
      <c r="G87" s="255"/>
      <c r="H87" s="188">
        <f>+'RATES-Non Fed'!G31</f>
        <v>0.62</v>
      </c>
      <c r="J87" s="187">
        <f>J76/12*'RATES-Non Fed'!$D$46</f>
        <v>0</v>
      </c>
      <c r="L87" s="188">
        <f>+'RATES-Non Fed'!I31</f>
        <v>0.62</v>
      </c>
      <c r="M87" s="187">
        <f>M76/12*'RATES-Non Fed'!$D$46</f>
        <v>0</v>
      </c>
      <c r="O87" s="189">
        <f>+'RATES-Non Fed'!K31</f>
        <v>0.62</v>
      </c>
      <c r="P87" s="187">
        <f>P76/12*'RATES-Non Fed'!$D$46</f>
        <v>0</v>
      </c>
      <c r="R87" s="189">
        <f>+'RATES-Non Fed'!M31</f>
        <v>0.62</v>
      </c>
      <c r="S87" s="187">
        <f>S76/12*'RATES-Non Fed'!$D$46</f>
        <v>0</v>
      </c>
    </row>
    <row r="88" spans="4:23" ht="17.25">
      <c r="D88" s="255"/>
      <c r="E88" s="255"/>
      <c r="F88" s="255"/>
      <c r="G88" s="255"/>
      <c r="J88" s="187">
        <f>SUM(J86:J87)</f>
        <v>0</v>
      </c>
      <c r="M88" s="187">
        <f>SUM(M86:M87)</f>
        <v>0</v>
      </c>
      <c r="P88" s="187">
        <f>SUM(P86:P87)</f>
        <v>0</v>
      </c>
      <c r="S88" s="187">
        <f>SUM(S86:S87)</f>
        <v>0</v>
      </c>
      <c r="U88" s="266"/>
      <c r="V88" s="266"/>
      <c r="W88" s="266"/>
    </row>
  </sheetData>
  <sheetProtection/>
  <mergeCells count="7">
    <mergeCell ref="D87:G88"/>
    <mergeCell ref="K4:U5"/>
    <mergeCell ref="J8:L8"/>
    <mergeCell ref="M8:O8"/>
    <mergeCell ref="P8:R8"/>
    <mergeCell ref="S8:U8"/>
    <mergeCell ref="U88:W8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landscape" scale="43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91"/>
  <sheetViews>
    <sheetView showGridLines="0" zoomScale="75" zoomScaleNormal="75" workbookViewId="0" topLeftCell="A1">
      <selection activeCell="F34" sqref="F34:F3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39" bestFit="1" customWidth="1"/>
    <col min="12" max="12" width="10.125" style="159" bestFit="1" customWidth="1"/>
    <col min="13" max="13" width="11.25390625" style="0" customWidth="1"/>
    <col min="14" max="14" width="9.25390625" style="139" bestFit="1" customWidth="1"/>
    <col min="15" max="15" width="9.50390625" style="84" bestFit="1" customWidth="1"/>
    <col min="16" max="16" width="11.25390625" style="0" customWidth="1"/>
    <col min="17" max="17" width="9.25390625" style="139" bestFit="1" customWidth="1"/>
    <col min="18" max="18" width="8.75390625" style="84" bestFit="1" customWidth="1"/>
    <col min="19" max="19" width="11.25390625" style="0" customWidth="1"/>
    <col min="20" max="20" width="9.25390625" style="139" bestFit="1" customWidth="1"/>
    <col min="21" max="21" width="8.75390625" style="84" bestFit="1" customWidth="1"/>
    <col min="22" max="22" width="11.25390625" style="0" customWidth="1"/>
    <col min="23" max="23" width="9.25390625" style="139" bestFit="1" customWidth="1"/>
    <col min="24" max="24" width="8.75390625" style="84" bestFit="1" customWidth="1"/>
    <col min="25" max="25" width="14.625" style="0" customWidth="1"/>
    <col min="26" max="26" width="2.625" style="0" customWidth="1"/>
  </cols>
  <sheetData>
    <row r="1" spans="1:2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25"/>
      <c r="L1" s="147"/>
      <c r="M1" s="37"/>
      <c r="N1" s="140"/>
      <c r="O1" s="169"/>
      <c r="P1" s="37"/>
      <c r="Q1" s="140"/>
      <c r="R1" s="169"/>
      <c r="S1" s="37"/>
      <c r="T1" s="140"/>
      <c r="U1" s="169"/>
      <c r="V1" s="37"/>
      <c r="W1" s="140"/>
      <c r="X1" s="169"/>
    </row>
    <row r="2" spans="1:25" ht="18.75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9"/>
      <c r="K2" s="125"/>
      <c r="L2" s="147"/>
      <c r="M2" s="37"/>
      <c r="N2" s="140"/>
      <c r="O2" s="169"/>
      <c r="P2" s="37"/>
      <c r="Q2" s="140"/>
      <c r="R2" s="169"/>
      <c r="S2" s="37"/>
      <c r="T2" s="140"/>
      <c r="U2" s="169"/>
      <c r="V2" s="37"/>
      <c r="W2" s="140"/>
      <c r="X2" s="169"/>
      <c r="Y2" s="37"/>
    </row>
    <row r="3" spans="1:25" ht="9.75" customHeight="1">
      <c r="A3" s="10" t="s">
        <v>1</v>
      </c>
      <c r="B3" s="1"/>
      <c r="J3" s="11" t="s">
        <v>1</v>
      </c>
      <c r="K3" s="126"/>
      <c r="L3" s="148"/>
      <c r="M3" s="8"/>
      <c r="P3" s="8"/>
      <c r="S3" s="8"/>
      <c r="V3" s="8"/>
      <c r="Y3" s="8"/>
    </row>
    <row r="4" spans="1:25" ht="15.75">
      <c r="A4" s="22" t="s">
        <v>2</v>
      </c>
      <c r="B4" s="1"/>
      <c r="D4" s="10" t="s">
        <v>70</v>
      </c>
      <c r="G4" s="3"/>
      <c r="J4" s="20" t="s">
        <v>3</v>
      </c>
      <c r="K4" s="256" t="s">
        <v>70</v>
      </c>
      <c r="L4" s="257"/>
      <c r="M4" s="258"/>
      <c r="N4" s="258"/>
      <c r="O4" s="258"/>
      <c r="P4" s="258"/>
      <c r="Q4" s="258"/>
      <c r="R4" s="258"/>
      <c r="S4" s="258"/>
      <c r="T4" s="258"/>
      <c r="U4" s="258"/>
      <c r="V4" s="268"/>
      <c r="W4" s="127"/>
      <c r="X4" s="123"/>
      <c r="Y4" s="8"/>
    </row>
    <row r="5" spans="1:25" ht="18.75">
      <c r="A5" s="22" t="s">
        <v>4</v>
      </c>
      <c r="B5" s="1"/>
      <c r="D5" s="10" t="s">
        <v>70</v>
      </c>
      <c r="E5" s="3"/>
      <c r="F5" s="3"/>
      <c r="H5" s="2"/>
      <c r="I5" s="2"/>
      <c r="J5" s="38"/>
      <c r="K5" s="260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9"/>
      <c r="W5" s="127"/>
      <c r="X5" s="123"/>
      <c r="Y5" s="8"/>
    </row>
    <row r="6" spans="1:25" ht="15.75">
      <c r="A6" s="14"/>
      <c r="B6" s="22" t="s">
        <v>5</v>
      </c>
      <c r="D6" s="73">
        <f>'RATES-Non Fed'!E2</f>
        <v>44317</v>
      </c>
      <c r="E6" s="12" t="s">
        <v>6</v>
      </c>
      <c r="F6" s="12"/>
      <c r="G6" s="73">
        <f>'RATES-Non Fed'!G2</f>
        <v>46142</v>
      </c>
      <c r="H6" s="4"/>
      <c r="I6" s="4"/>
      <c r="J6" s="2"/>
      <c r="K6" s="127"/>
      <c r="L6" s="149"/>
      <c r="M6" s="3"/>
      <c r="N6" s="127"/>
      <c r="O6" s="123"/>
      <c r="P6" s="3"/>
      <c r="Q6" s="127"/>
      <c r="R6" s="123"/>
      <c r="S6" s="3"/>
      <c r="T6" s="127"/>
      <c r="U6" s="123"/>
      <c r="V6" s="3"/>
      <c r="W6" s="127"/>
      <c r="X6" s="123"/>
      <c r="Y6" s="8"/>
    </row>
    <row r="7" spans="5:26" ht="7.5" customHeight="1">
      <c r="E7" s="3"/>
      <c r="F7" s="3"/>
      <c r="G7" s="1"/>
      <c r="H7" s="1"/>
      <c r="I7" s="1"/>
      <c r="J7" s="16" t="s">
        <v>1</v>
      </c>
      <c r="K7" s="126"/>
      <c r="L7" s="148"/>
      <c r="M7" s="8"/>
      <c r="N7" s="126"/>
      <c r="O7" s="117"/>
      <c r="P7" s="8"/>
      <c r="Q7" s="126"/>
      <c r="R7" s="117"/>
      <c r="S7" s="8"/>
      <c r="T7" s="126"/>
      <c r="U7" s="117"/>
      <c r="V7" s="8"/>
      <c r="W7" s="126"/>
      <c r="X7" s="117"/>
      <c r="Y7" s="8"/>
      <c r="Z7" s="1"/>
    </row>
    <row r="8" spans="1:26" ht="15.75">
      <c r="A8" s="21"/>
      <c r="B8" s="21"/>
      <c r="C8" s="21"/>
      <c r="D8" s="21"/>
      <c r="E8" s="21"/>
      <c r="F8" s="21"/>
      <c r="G8" s="21"/>
      <c r="H8" s="21"/>
      <c r="I8" s="21"/>
      <c r="J8" s="245" t="s">
        <v>21</v>
      </c>
      <c r="K8" s="246"/>
      <c r="L8" s="247"/>
      <c r="M8" s="263" t="s">
        <v>54</v>
      </c>
      <c r="N8" s="264"/>
      <c r="O8" s="265"/>
      <c r="P8" s="263" t="s">
        <v>56</v>
      </c>
      <c r="Q8" s="264"/>
      <c r="R8" s="265"/>
      <c r="S8" s="263" t="s">
        <v>58</v>
      </c>
      <c r="T8" s="264"/>
      <c r="U8" s="265"/>
      <c r="V8" s="263" t="s">
        <v>60</v>
      </c>
      <c r="W8" s="264"/>
      <c r="X8" s="265"/>
      <c r="Y8" s="145" t="s">
        <v>8</v>
      </c>
      <c r="Z8" s="21"/>
    </row>
    <row r="9" spans="1:26" s="121" customFormat="1" ht="15.75">
      <c r="A9" s="119" t="s">
        <v>9</v>
      </c>
      <c r="B9" s="119" t="s">
        <v>10</v>
      </c>
      <c r="C9" s="119"/>
      <c r="D9" s="119"/>
      <c r="E9" s="119"/>
      <c r="F9" s="119"/>
      <c r="G9" s="119"/>
      <c r="H9" s="119"/>
      <c r="I9" s="119"/>
      <c r="J9" s="163" t="s">
        <v>149</v>
      </c>
      <c r="K9" s="128" t="s">
        <v>150</v>
      </c>
      <c r="L9" s="119" t="s">
        <v>151</v>
      </c>
      <c r="M9" s="168" t="s">
        <v>149</v>
      </c>
      <c r="N9" s="128" t="s">
        <v>150</v>
      </c>
      <c r="O9" s="119" t="s">
        <v>151</v>
      </c>
      <c r="P9" s="168" t="s">
        <v>149</v>
      </c>
      <c r="Q9" s="128" t="s">
        <v>150</v>
      </c>
      <c r="R9" s="119" t="s">
        <v>151</v>
      </c>
      <c r="S9" s="168" t="s">
        <v>149</v>
      </c>
      <c r="T9" s="128" t="s">
        <v>150</v>
      </c>
      <c r="U9" s="119" t="s">
        <v>151</v>
      </c>
      <c r="V9" s="168" t="s">
        <v>149</v>
      </c>
      <c r="W9" s="128" t="s">
        <v>150</v>
      </c>
      <c r="X9" s="119" t="s">
        <v>151</v>
      </c>
      <c r="Y9" s="120"/>
      <c r="Z9" s="119"/>
    </row>
    <row r="10" spans="1:26" ht="15.75">
      <c r="A10" s="1"/>
      <c r="B10" s="23" t="s">
        <v>11</v>
      </c>
      <c r="C10" s="24"/>
      <c r="D10" s="24" t="s">
        <v>101</v>
      </c>
      <c r="E10" s="1" t="s">
        <v>12</v>
      </c>
      <c r="F10" s="41" t="s">
        <v>123</v>
      </c>
      <c r="G10" s="41" t="s">
        <v>13</v>
      </c>
      <c r="H10" s="1"/>
      <c r="I10" s="1"/>
      <c r="J10" s="164"/>
      <c r="K10" s="126"/>
      <c r="L10" s="117"/>
      <c r="M10" s="164"/>
      <c r="N10" s="126"/>
      <c r="O10" s="117"/>
      <c r="P10" s="164"/>
      <c r="Q10" s="126"/>
      <c r="R10" s="117"/>
      <c r="S10" s="164"/>
      <c r="T10" s="126"/>
      <c r="U10" s="117"/>
      <c r="V10" s="164"/>
      <c r="W10" s="126"/>
      <c r="X10" s="117"/>
      <c r="Y10" s="2">
        <f>IF(SUM(J10:N10)=0,"",SUM(J10:N10))</f>
      </c>
      <c r="Z10" s="1"/>
    </row>
    <row r="11" spans="1:26" ht="15.75">
      <c r="A11" s="1"/>
      <c r="B11" s="1" t="s">
        <v>14</v>
      </c>
      <c r="C11" s="10" t="str">
        <f>+D5</f>
        <v>name</v>
      </c>
      <c r="D11" s="115" t="s">
        <v>125</v>
      </c>
      <c r="E11" s="70">
        <v>0</v>
      </c>
      <c r="F11" s="89">
        <f>IF(D11="CAL",(52*E11/4.3333),(IF(D11="ACAD",(36.35*E11/4.33333),IF(D11="SUMR",(15.65*E11/4.33333),IF(D11="PT",(0),0)))))</f>
        <v>0</v>
      </c>
      <c r="G11" s="69">
        <v>0</v>
      </c>
      <c r="J11" s="161">
        <f>ROUND(G11*E11,0)</f>
        <v>0</v>
      </c>
      <c r="K11" s="129">
        <f>ROUND(J11*'RATES-Non Fed'!E38,0)</f>
        <v>0</v>
      </c>
      <c r="L11" s="67">
        <f>ROUND(K11+J11,0)</f>
        <v>0</v>
      </c>
      <c r="M11" s="161">
        <f>ROUND((J11*1.025),0)</f>
        <v>0</v>
      </c>
      <c r="N11" s="129">
        <f>ROUND(M11*'RATES-Non Fed'!G38,0)</f>
        <v>0</v>
      </c>
      <c r="O11" s="67">
        <f aca="true" t="shared" si="0" ref="O11:O18">ROUND(M11+N11,0)</f>
        <v>0</v>
      </c>
      <c r="P11" s="161">
        <f>ROUND((M11*1.0275),0)</f>
        <v>0</v>
      </c>
      <c r="Q11" s="129">
        <f>ROUND(P11*'RATES-Non Fed'!I38,0)</f>
        <v>0</v>
      </c>
      <c r="R11" s="67">
        <f>SUM(P11:Q11)</f>
        <v>0</v>
      </c>
      <c r="S11" s="161">
        <f>ROUND((P11*1.03),0)</f>
        <v>0</v>
      </c>
      <c r="T11" s="129">
        <f>ROUND(S11*'RATES-Non Fed'!K38,0)</f>
        <v>0</v>
      </c>
      <c r="U11" s="67">
        <f>SUM(S11:T11)</f>
        <v>0</v>
      </c>
      <c r="V11" s="161">
        <f>ROUND((S11*1.03),0)</f>
        <v>0</v>
      </c>
      <c r="W11" s="129">
        <f>ROUND(V11*'RATES-Non Fed'!M38,0)</f>
        <v>0</v>
      </c>
      <c r="X11" s="67">
        <f>SUM(V11:W11)</f>
        <v>0</v>
      </c>
      <c r="Y11" s="42">
        <f aca="true" t="shared" si="1" ref="Y11:Y19">SUM(L11+O11+R11+U11+X11)</f>
        <v>0</v>
      </c>
      <c r="Z11" s="1"/>
    </row>
    <row r="12" spans="1:26" ht="15.75">
      <c r="A12" s="1"/>
      <c r="B12" s="1" t="s">
        <v>14</v>
      </c>
      <c r="C12" s="3"/>
      <c r="D12" s="115" t="str">
        <f>IF(D11="ACAD",("SUMR"),"")</f>
        <v>SUMR</v>
      </c>
      <c r="E12" s="70">
        <v>0</v>
      </c>
      <c r="F12" s="89">
        <f aca="true" t="shared" si="2" ref="F12:F17">IF(D12="CAL",(52*E12/4.3333),(IF(D12="ACAD",(36.35*E12/4.33333),IF(D12="SUMR",(15.65*E12/4.33333),IF(D12="PT",(0),0)))))</f>
        <v>0</v>
      </c>
      <c r="G12" s="69">
        <f>+G11*0.4375</f>
        <v>0</v>
      </c>
      <c r="J12" s="161">
        <f aca="true" t="shared" si="3" ref="J12:J18">ROUND(G12*E12,0)</f>
        <v>0</v>
      </c>
      <c r="K12" s="129">
        <f>ROUND(J12*'RATES-Non Fed'!E38,0)</f>
        <v>0</v>
      </c>
      <c r="L12" s="67">
        <f aca="true" t="shared" si="4" ref="L12:L18">ROUND(K12+J12,0)</f>
        <v>0</v>
      </c>
      <c r="M12" s="161">
        <f aca="true" t="shared" si="5" ref="M12:M18">ROUND((J12*1.025),0)</f>
        <v>0</v>
      </c>
      <c r="N12" s="129">
        <f>ROUND(M12*'RATES-Non Fed'!G38,0)</f>
        <v>0</v>
      </c>
      <c r="O12" s="67">
        <f t="shared" si="0"/>
        <v>0</v>
      </c>
      <c r="P12" s="161">
        <f aca="true" t="shared" si="6" ref="P12:P18">ROUND((M12*1.0275),0)</f>
        <v>0</v>
      </c>
      <c r="Q12" s="129">
        <f>ROUND(P12*'RATES-Non Fed'!I38,0)</f>
        <v>0</v>
      </c>
      <c r="R12" s="67">
        <f aca="true" t="shared" si="7" ref="R12:R18">SUM(P12:Q12)</f>
        <v>0</v>
      </c>
      <c r="S12" s="161">
        <f aca="true" t="shared" si="8" ref="S12:S18">ROUND((P12*1.03),0)</f>
        <v>0</v>
      </c>
      <c r="T12" s="129">
        <f>ROUND(S12*'RATES-Non Fed'!K38,0)</f>
        <v>0</v>
      </c>
      <c r="U12" s="67">
        <f aca="true" t="shared" si="9" ref="U12:U18">SUM(S12:T12)</f>
        <v>0</v>
      </c>
      <c r="V12" s="161">
        <f aca="true" t="shared" si="10" ref="V12:V18">ROUND((S12*1.03),0)</f>
        <v>0</v>
      </c>
      <c r="W12" s="129">
        <f>ROUND(V12*'RATES-Non Fed'!M38,0)</f>
        <v>0</v>
      </c>
      <c r="X12" s="67">
        <f aca="true" t="shared" si="11" ref="X12:X18">SUM(V12:W12)</f>
        <v>0</v>
      </c>
      <c r="Y12" s="42">
        <f t="shared" si="1"/>
        <v>0</v>
      </c>
      <c r="Z12" s="1"/>
    </row>
    <row r="13" spans="1:26" ht="15.75">
      <c r="A13" s="1"/>
      <c r="B13" s="1" t="s">
        <v>15</v>
      </c>
      <c r="C13" s="3"/>
      <c r="D13" s="115" t="s">
        <v>125</v>
      </c>
      <c r="E13" s="70">
        <v>0</v>
      </c>
      <c r="F13" s="89">
        <f t="shared" si="2"/>
        <v>0</v>
      </c>
      <c r="G13" s="69">
        <v>0</v>
      </c>
      <c r="J13" s="161">
        <f t="shared" si="3"/>
        <v>0</v>
      </c>
      <c r="K13" s="129">
        <f>ROUND(J13*'RATES-Non Fed'!E38,0)</f>
        <v>0</v>
      </c>
      <c r="L13" s="67">
        <f t="shared" si="4"/>
        <v>0</v>
      </c>
      <c r="M13" s="161">
        <f t="shared" si="5"/>
        <v>0</v>
      </c>
      <c r="N13" s="129">
        <f>ROUND(M13*'RATES-Non Fed'!G38,0)</f>
        <v>0</v>
      </c>
      <c r="O13" s="67">
        <f t="shared" si="0"/>
        <v>0</v>
      </c>
      <c r="P13" s="161">
        <f t="shared" si="6"/>
        <v>0</v>
      </c>
      <c r="Q13" s="129">
        <f>ROUND(P13*'RATES-Non Fed'!I38,0)</f>
        <v>0</v>
      </c>
      <c r="R13" s="67">
        <f t="shared" si="7"/>
        <v>0</v>
      </c>
      <c r="S13" s="161">
        <f t="shared" si="8"/>
        <v>0</v>
      </c>
      <c r="T13" s="129">
        <f>ROUND(S13*'RATES-Non Fed'!K38,0)</f>
        <v>0</v>
      </c>
      <c r="U13" s="67">
        <f t="shared" si="9"/>
        <v>0</v>
      </c>
      <c r="V13" s="161">
        <f t="shared" si="10"/>
        <v>0</v>
      </c>
      <c r="W13" s="129">
        <f>ROUND(V13*'RATES-Non Fed'!M38,0)</f>
        <v>0</v>
      </c>
      <c r="X13" s="67">
        <f t="shared" si="11"/>
        <v>0</v>
      </c>
      <c r="Y13" s="42">
        <f t="shared" si="1"/>
        <v>0</v>
      </c>
      <c r="Z13" s="1"/>
    </row>
    <row r="14" spans="1:25" ht="15.75">
      <c r="A14" s="1"/>
      <c r="B14" s="1"/>
      <c r="C14" s="3"/>
      <c r="D14" s="115" t="str">
        <f>IF(D13="ACAD",("SUMR"),"")</f>
        <v>SUMR</v>
      </c>
      <c r="E14" s="70">
        <v>0</v>
      </c>
      <c r="F14" s="89">
        <f t="shared" si="2"/>
        <v>0</v>
      </c>
      <c r="G14" s="69">
        <f>+G13*0.4375</f>
        <v>0</v>
      </c>
      <c r="J14" s="161">
        <f t="shared" si="3"/>
        <v>0</v>
      </c>
      <c r="K14" s="129">
        <f>ROUND(J14*'RATES-Non Fed'!E38,0)</f>
        <v>0</v>
      </c>
      <c r="L14" s="67">
        <f t="shared" si="4"/>
        <v>0</v>
      </c>
      <c r="M14" s="161">
        <f t="shared" si="5"/>
        <v>0</v>
      </c>
      <c r="N14" s="129">
        <f>ROUND(M14*'RATES-Non Fed'!G38,0)</f>
        <v>0</v>
      </c>
      <c r="O14" s="67">
        <f t="shared" si="0"/>
        <v>0</v>
      </c>
      <c r="P14" s="161">
        <f t="shared" si="6"/>
        <v>0</v>
      </c>
      <c r="Q14" s="129">
        <f>ROUND(P14*'RATES-Non Fed'!I38,0)</f>
        <v>0</v>
      </c>
      <c r="R14" s="67">
        <f t="shared" si="7"/>
        <v>0</v>
      </c>
      <c r="S14" s="161">
        <f t="shared" si="8"/>
        <v>0</v>
      </c>
      <c r="T14" s="129">
        <f>ROUND(S14*'RATES-Non Fed'!K38,0)</f>
        <v>0</v>
      </c>
      <c r="U14" s="67">
        <f t="shared" si="9"/>
        <v>0</v>
      </c>
      <c r="V14" s="161">
        <f t="shared" si="10"/>
        <v>0</v>
      </c>
      <c r="W14" s="129">
        <f>ROUND(V14*'RATES-Non Fed'!M38,0)</f>
        <v>0</v>
      </c>
      <c r="X14" s="67">
        <f t="shared" si="11"/>
        <v>0</v>
      </c>
      <c r="Y14" s="42">
        <f t="shared" si="1"/>
        <v>0</v>
      </c>
    </row>
    <row r="15" spans="1:26" ht="15.75">
      <c r="A15" s="1"/>
      <c r="B15" s="1" t="s">
        <v>15</v>
      </c>
      <c r="C15" s="3"/>
      <c r="D15" s="115" t="s">
        <v>125</v>
      </c>
      <c r="E15" s="70">
        <v>0</v>
      </c>
      <c r="F15" s="89">
        <f t="shared" si="2"/>
        <v>0</v>
      </c>
      <c r="G15" s="69">
        <v>0</v>
      </c>
      <c r="J15" s="161">
        <f t="shared" si="3"/>
        <v>0</v>
      </c>
      <c r="K15" s="129">
        <f>ROUND(J15*'RATES-Non Fed'!E38,0)</f>
        <v>0</v>
      </c>
      <c r="L15" s="67">
        <f t="shared" si="4"/>
        <v>0</v>
      </c>
      <c r="M15" s="161">
        <f t="shared" si="5"/>
        <v>0</v>
      </c>
      <c r="N15" s="129">
        <f>ROUND(M15*'RATES-Non Fed'!G38,0)</f>
        <v>0</v>
      </c>
      <c r="O15" s="67">
        <f t="shared" si="0"/>
        <v>0</v>
      </c>
      <c r="P15" s="161">
        <f t="shared" si="6"/>
        <v>0</v>
      </c>
      <c r="Q15" s="129">
        <f>ROUND(P15*'RATES-Non Fed'!I38,0)</f>
        <v>0</v>
      </c>
      <c r="R15" s="67">
        <f t="shared" si="7"/>
        <v>0</v>
      </c>
      <c r="S15" s="161">
        <f t="shared" si="8"/>
        <v>0</v>
      </c>
      <c r="T15" s="129">
        <f>ROUND(S15*'RATES-Non Fed'!K38,0)</f>
        <v>0</v>
      </c>
      <c r="U15" s="67">
        <f t="shared" si="9"/>
        <v>0</v>
      </c>
      <c r="V15" s="161">
        <f t="shared" si="10"/>
        <v>0</v>
      </c>
      <c r="W15" s="129">
        <f>ROUND(V15*'RATES-Non Fed'!M38,0)</f>
        <v>0</v>
      </c>
      <c r="X15" s="67">
        <f t="shared" si="11"/>
        <v>0</v>
      </c>
      <c r="Y15" s="42">
        <f t="shared" si="1"/>
        <v>0</v>
      </c>
      <c r="Z15" s="1"/>
    </row>
    <row r="16" spans="1:25" ht="15.75">
      <c r="A16" s="1"/>
      <c r="B16" s="1"/>
      <c r="C16" s="3"/>
      <c r="D16" s="115" t="str">
        <f>IF(D15="ACAD",("SUMR"),"")</f>
        <v>SUMR</v>
      </c>
      <c r="E16" s="70">
        <v>0</v>
      </c>
      <c r="F16" s="89">
        <f t="shared" si="2"/>
        <v>0</v>
      </c>
      <c r="G16" s="69">
        <f>+G15*0.4375</f>
        <v>0</v>
      </c>
      <c r="J16" s="161">
        <f t="shared" si="3"/>
        <v>0</v>
      </c>
      <c r="K16" s="129">
        <f>ROUND(J16*'RATES-Non Fed'!E38,0)</f>
        <v>0</v>
      </c>
      <c r="L16" s="67">
        <f t="shared" si="4"/>
        <v>0</v>
      </c>
      <c r="M16" s="161">
        <f t="shared" si="5"/>
        <v>0</v>
      </c>
      <c r="N16" s="129">
        <f>ROUND(M16*'RATES-Non Fed'!G38,0)</f>
        <v>0</v>
      </c>
      <c r="O16" s="67">
        <f t="shared" si="0"/>
        <v>0</v>
      </c>
      <c r="P16" s="161">
        <f t="shared" si="6"/>
        <v>0</v>
      </c>
      <c r="Q16" s="129">
        <f>ROUND(P16*'RATES-Non Fed'!I38,0)</f>
        <v>0</v>
      </c>
      <c r="R16" s="67">
        <f t="shared" si="7"/>
        <v>0</v>
      </c>
      <c r="S16" s="161">
        <f t="shared" si="8"/>
        <v>0</v>
      </c>
      <c r="T16" s="129">
        <f>ROUND(S16*'RATES-Non Fed'!K38,0)</f>
        <v>0</v>
      </c>
      <c r="U16" s="67">
        <f t="shared" si="9"/>
        <v>0</v>
      </c>
      <c r="V16" s="161">
        <f t="shared" si="10"/>
        <v>0</v>
      </c>
      <c r="W16" s="129">
        <f>ROUND(V16*'RATES-Non Fed'!M38,0)</f>
        <v>0</v>
      </c>
      <c r="X16" s="67">
        <f t="shared" si="11"/>
        <v>0</v>
      </c>
      <c r="Y16" s="42">
        <f t="shared" si="1"/>
        <v>0</v>
      </c>
    </row>
    <row r="17" spans="1:26" ht="15.75">
      <c r="A17" s="1"/>
      <c r="B17" s="1" t="s">
        <v>15</v>
      </c>
      <c r="C17" s="3"/>
      <c r="D17" s="115" t="s">
        <v>124</v>
      </c>
      <c r="E17" s="70">
        <v>0</v>
      </c>
      <c r="F17" s="89">
        <f t="shared" si="2"/>
        <v>0</v>
      </c>
      <c r="G17" s="69">
        <v>0</v>
      </c>
      <c r="J17" s="161">
        <f t="shared" si="3"/>
        <v>0</v>
      </c>
      <c r="K17" s="129">
        <f>ROUND(J17*'RATES-Non Fed'!E38,0)</f>
        <v>0</v>
      </c>
      <c r="L17" s="67">
        <f t="shared" si="4"/>
        <v>0</v>
      </c>
      <c r="M17" s="161">
        <f t="shared" si="5"/>
        <v>0</v>
      </c>
      <c r="N17" s="129">
        <f>ROUND(M17*'RATES-Non Fed'!G38,0)</f>
        <v>0</v>
      </c>
      <c r="O17" s="67">
        <f t="shared" si="0"/>
        <v>0</v>
      </c>
      <c r="P17" s="161">
        <f t="shared" si="6"/>
        <v>0</v>
      </c>
      <c r="Q17" s="129">
        <f>ROUND(P17*'RATES-Non Fed'!I38,0)</f>
        <v>0</v>
      </c>
      <c r="R17" s="67">
        <f t="shared" si="7"/>
        <v>0</v>
      </c>
      <c r="S17" s="161">
        <f t="shared" si="8"/>
        <v>0</v>
      </c>
      <c r="T17" s="129">
        <f>ROUND(S17*'RATES-Non Fed'!K38,0)</f>
        <v>0</v>
      </c>
      <c r="U17" s="67">
        <f t="shared" si="9"/>
        <v>0</v>
      </c>
      <c r="V17" s="161">
        <f t="shared" si="10"/>
        <v>0</v>
      </c>
      <c r="W17" s="129">
        <f>ROUND(V17*'RATES-Non Fed'!M38,0)</f>
        <v>0</v>
      </c>
      <c r="X17" s="67">
        <f t="shared" si="11"/>
        <v>0</v>
      </c>
      <c r="Y17" s="42">
        <f t="shared" si="1"/>
        <v>0</v>
      </c>
      <c r="Z17" s="1"/>
    </row>
    <row r="18" spans="1:25" ht="15.75">
      <c r="A18" s="1"/>
      <c r="B18" s="1" t="s">
        <v>15</v>
      </c>
      <c r="C18" s="3"/>
      <c r="D18" s="115" t="s">
        <v>124</v>
      </c>
      <c r="E18" s="70">
        <v>0</v>
      </c>
      <c r="F18" s="89">
        <f>IF(D18="CAL",(52*E18/4.3333),(IF(D18="ACAD",(36.35*E18/4.33333),IF(D18="SUMR",(15.65*E18/4.33333),IF(D18="PT",(0),0)))))</f>
        <v>0</v>
      </c>
      <c r="G18" s="69">
        <v>0</v>
      </c>
      <c r="J18" s="176">
        <f t="shared" si="3"/>
        <v>0</v>
      </c>
      <c r="K18" s="181">
        <f>ROUND(J18*'RATES-Non Fed'!E38,0)</f>
        <v>0</v>
      </c>
      <c r="L18" s="182">
        <f t="shared" si="4"/>
        <v>0</v>
      </c>
      <c r="M18" s="161">
        <f t="shared" si="5"/>
        <v>0</v>
      </c>
      <c r="N18" s="181">
        <f>ROUND(M18*'RATES-Non Fed'!G38,0)</f>
        <v>0</v>
      </c>
      <c r="O18" s="182">
        <f t="shared" si="0"/>
        <v>0</v>
      </c>
      <c r="P18" s="161">
        <f t="shared" si="6"/>
        <v>0</v>
      </c>
      <c r="Q18" s="181">
        <f>ROUND(P18*'RATES-Non Fed'!I38,0)</f>
        <v>0</v>
      </c>
      <c r="R18" s="182">
        <f t="shared" si="7"/>
        <v>0</v>
      </c>
      <c r="S18" s="161">
        <f t="shared" si="8"/>
        <v>0</v>
      </c>
      <c r="T18" s="181">
        <f>ROUND(S18*'RATES-Non Fed'!K38,0)</f>
        <v>0</v>
      </c>
      <c r="U18" s="182">
        <f t="shared" si="9"/>
        <v>0</v>
      </c>
      <c r="V18" s="161">
        <f t="shared" si="10"/>
        <v>0</v>
      </c>
      <c r="W18" s="181">
        <f>ROUND(V18*'RATES-Non Fed'!M38,0)</f>
        <v>0</v>
      </c>
      <c r="X18" s="182">
        <f t="shared" si="11"/>
        <v>0</v>
      </c>
      <c r="Y18" s="179">
        <f t="shared" si="1"/>
        <v>0</v>
      </c>
    </row>
    <row r="19" spans="1:26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180">
        <f aca="true" t="shared" si="12" ref="J19:X19">SUM(J11:J18)</f>
        <v>0</v>
      </c>
      <c r="K19" s="130">
        <f t="shared" si="12"/>
        <v>0</v>
      </c>
      <c r="L19" s="46">
        <f t="shared" si="12"/>
        <v>0</v>
      </c>
      <c r="M19" s="180">
        <f t="shared" si="12"/>
        <v>0</v>
      </c>
      <c r="N19" s="130">
        <f t="shared" si="12"/>
        <v>0</v>
      </c>
      <c r="O19" s="46">
        <f t="shared" si="12"/>
        <v>0</v>
      </c>
      <c r="P19" s="180">
        <f t="shared" si="12"/>
        <v>0</v>
      </c>
      <c r="Q19" s="130">
        <f t="shared" si="12"/>
        <v>0</v>
      </c>
      <c r="R19" s="46">
        <f t="shared" si="12"/>
        <v>0</v>
      </c>
      <c r="S19" s="180">
        <f t="shared" si="12"/>
        <v>0</v>
      </c>
      <c r="T19" s="130">
        <f t="shared" si="12"/>
        <v>0</v>
      </c>
      <c r="U19" s="46">
        <f t="shared" si="12"/>
        <v>0</v>
      </c>
      <c r="V19" s="180">
        <f t="shared" si="12"/>
        <v>0</v>
      </c>
      <c r="W19" s="130">
        <f t="shared" si="12"/>
        <v>0</v>
      </c>
      <c r="X19" s="46">
        <f t="shared" si="12"/>
        <v>0</v>
      </c>
      <c r="Y19" s="42">
        <f t="shared" si="1"/>
        <v>0</v>
      </c>
      <c r="Z19" s="6"/>
    </row>
    <row r="20" spans="1:24" ht="15.75">
      <c r="A20" s="21" t="s">
        <v>180</v>
      </c>
      <c r="B20" s="21" t="s">
        <v>181</v>
      </c>
      <c r="C20" s="1"/>
      <c r="D20" s="25"/>
      <c r="E20" s="26"/>
      <c r="F20" s="26"/>
      <c r="G20" s="1"/>
      <c r="H20" s="1"/>
      <c r="I20" s="1"/>
      <c r="J20" s="180"/>
      <c r="K20" s="130"/>
      <c r="L20" s="46"/>
      <c r="M20" s="42"/>
      <c r="N20" s="6"/>
      <c r="O20"/>
      <c r="Q20"/>
      <c r="R20"/>
      <c r="T20"/>
      <c r="U20"/>
      <c r="W20"/>
      <c r="X20"/>
    </row>
    <row r="21" spans="1:25" ht="15.75">
      <c r="A21" s="1"/>
      <c r="B21" s="1" t="s">
        <v>15</v>
      </c>
      <c r="C21" s="3"/>
      <c r="D21" s="115" t="s">
        <v>124</v>
      </c>
      <c r="E21" s="70">
        <v>0</v>
      </c>
      <c r="F21" s="89">
        <f>IF(D21="CAL",(52*E21/4.3333),(IF(D21="ACAD",(32*E21/4.33333),IF(D21="SUMR",(14*E21/4.33333),IF(D21="PT",(0),0)))))</f>
        <v>0</v>
      </c>
      <c r="G21" s="69">
        <v>0</v>
      </c>
      <c r="J21" s="161">
        <f>ROUND(G21*E21,0)</f>
        <v>0</v>
      </c>
      <c r="K21" s="129">
        <f>ROUND(J21*'RATES-Non Fed'!E40,0)</f>
        <v>0</v>
      </c>
      <c r="L21" s="67">
        <f>ROUND(K21+J21,0)</f>
        <v>0</v>
      </c>
      <c r="M21" s="161">
        <f>ROUND((J21*1.02),0)</f>
        <v>0</v>
      </c>
      <c r="N21" s="129">
        <f>ROUND(M21*'RATES-Non Fed'!G40,0)</f>
        <v>0</v>
      </c>
      <c r="O21" s="67">
        <f>ROUND(M21+N21,0)</f>
        <v>0</v>
      </c>
      <c r="P21" s="161">
        <f>ROUND((M21*1.02),0)</f>
        <v>0</v>
      </c>
      <c r="Q21" s="129">
        <f>ROUND(P21*'RATES-Non Fed'!I40,0)</f>
        <v>0</v>
      </c>
      <c r="R21" s="67">
        <f>ROUND(P21+Q21,0)</f>
        <v>0</v>
      </c>
      <c r="S21" s="161">
        <f>ROUND((P21*1.02),0)</f>
        <v>0</v>
      </c>
      <c r="T21" s="129">
        <f>ROUND(S21*'RATES-Non Fed'!K40,0)</f>
        <v>0</v>
      </c>
      <c r="U21" s="76">
        <f>SUM(S21:T21)</f>
        <v>0</v>
      </c>
      <c r="V21" s="161">
        <f>ROUND((S21*1.02),0)</f>
        <v>0</v>
      </c>
      <c r="W21" s="129">
        <f>ROUND(V21*'RATES-Non Fed'!M40,0)</f>
        <v>0</v>
      </c>
      <c r="X21" s="76">
        <f>SUM(V21:W21)</f>
        <v>0</v>
      </c>
      <c r="Y21" s="42">
        <f>SUM(L21+O21+R21+U21+X21)</f>
        <v>0</v>
      </c>
    </row>
    <row r="22" spans="1:25" ht="15.75">
      <c r="A22" s="1"/>
      <c r="B22" s="1" t="s">
        <v>15</v>
      </c>
      <c r="C22" s="3"/>
      <c r="D22" s="115" t="s">
        <v>124</v>
      </c>
      <c r="E22" s="70">
        <v>0</v>
      </c>
      <c r="F22" s="89">
        <f>IF(D22="CAL",(52*E22/4.3333),(IF(D22="ACAD",(32*E22/4.33333),IF(D22="SUMR",(14*E22/4.33333),IF(D22="PT",(0),0)))))</f>
        <v>0</v>
      </c>
      <c r="G22" s="69">
        <v>0</v>
      </c>
      <c r="J22" s="161">
        <f>ROUND(G22*E22,0)</f>
        <v>0</v>
      </c>
      <c r="K22" s="129">
        <f>ROUND(J22*'RATES-Non Fed'!E40,0)</f>
        <v>0</v>
      </c>
      <c r="L22" s="67">
        <f>ROUND(K22+J22,0)</f>
        <v>0</v>
      </c>
      <c r="M22" s="161">
        <f>ROUND((J22*1.02),0)</f>
        <v>0</v>
      </c>
      <c r="N22" s="129">
        <f>ROUND(M22*'RATES-Non Fed'!G40,0)</f>
        <v>0</v>
      </c>
      <c r="O22" s="67">
        <f>ROUND(M22+N22,0)</f>
        <v>0</v>
      </c>
      <c r="P22" s="161">
        <f>ROUND((M22*1.02),0)</f>
        <v>0</v>
      </c>
      <c r="Q22" s="129">
        <f>ROUND(P22*'RATES-Non Fed'!I40,0)</f>
        <v>0</v>
      </c>
      <c r="R22" s="67">
        <f>ROUND(P22+Q22,0)</f>
        <v>0</v>
      </c>
      <c r="S22" s="161">
        <f>ROUND((P22*1.02),0)</f>
        <v>0</v>
      </c>
      <c r="T22" s="129">
        <f>ROUND(S22*'RATES-Non Fed'!K40,0)</f>
        <v>0</v>
      </c>
      <c r="U22" s="76">
        <f>SUM(S22:T22)</f>
        <v>0</v>
      </c>
      <c r="V22" s="161">
        <f>ROUND((S22*1.02),0)</f>
        <v>0</v>
      </c>
      <c r="W22" s="129">
        <f>ROUND(V22*'RATES-Non Fed'!M40,0)</f>
        <v>0</v>
      </c>
      <c r="X22" s="76">
        <f>SUM(V22:W22)</f>
        <v>0</v>
      </c>
      <c r="Y22" s="42">
        <f>SUM(L22+O22+R22+U22+X22)</f>
        <v>0</v>
      </c>
    </row>
    <row r="23" spans="1:25" ht="15.75">
      <c r="A23" s="1"/>
      <c r="B23" s="1" t="s">
        <v>15</v>
      </c>
      <c r="C23" s="3"/>
      <c r="D23" s="115" t="s">
        <v>124</v>
      </c>
      <c r="E23" s="70">
        <v>0</v>
      </c>
      <c r="F23" s="89">
        <f>IF(D23="CAL",(52*E23/4.3333),(IF(D23="ACAD",(32*E23/4.33333),IF(D23="SUMR",(14*E23/4.33333),IF(D23="PT",(0),0)))))</f>
        <v>0</v>
      </c>
      <c r="G23" s="69">
        <v>0</v>
      </c>
      <c r="J23" s="161">
        <f>ROUND(G23*E23,0)</f>
        <v>0</v>
      </c>
      <c r="K23" s="129">
        <f>ROUND(J23*'RATES-Non Fed'!E40,0)</f>
        <v>0</v>
      </c>
      <c r="L23" s="67">
        <f>ROUND(K23+J23,0)</f>
        <v>0</v>
      </c>
      <c r="M23" s="161">
        <f>ROUND((J23*1.02),0)</f>
        <v>0</v>
      </c>
      <c r="N23" s="129">
        <f>ROUND(M23*'RATES-Non Fed'!G40,0)</f>
        <v>0</v>
      </c>
      <c r="O23" s="67">
        <f>ROUND(M23+N23,0)</f>
        <v>0</v>
      </c>
      <c r="P23" s="161">
        <f>ROUND((M23*1.02),0)</f>
        <v>0</v>
      </c>
      <c r="Q23" s="129">
        <f>ROUND(P23*'RATES-Non Fed'!I40,0)</f>
        <v>0</v>
      </c>
      <c r="R23" s="67">
        <f>ROUND(P23+Q23,0)</f>
        <v>0</v>
      </c>
      <c r="S23" s="161">
        <f>ROUND((P23*1.02),0)</f>
        <v>0</v>
      </c>
      <c r="T23" s="129">
        <f>ROUND(S23*'RATES-Non Fed'!K40,0)</f>
        <v>0</v>
      </c>
      <c r="U23" s="76">
        <f>SUM(S23:T23)</f>
        <v>0</v>
      </c>
      <c r="V23" s="161">
        <f>ROUND((S23*1.02),0)</f>
        <v>0</v>
      </c>
      <c r="W23" s="129">
        <f>ROUND(V23*'RATES-Non Fed'!M40,0)</f>
        <v>0</v>
      </c>
      <c r="X23" s="76">
        <f>SUM(V23:W23)</f>
        <v>0</v>
      </c>
      <c r="Y23" s="42">
        <f>SUM(L23+O23+R23+U23+X23)</f>
        <v>0</v>
      </c>
    </row>
    <row r="24" spans="1:25" ht="15.75">
      <c r="A24" s="1"/>
      <c r="B24" s="1" t="s">
        <v>15</v>
      </c>
      <c r="C24" s="3"/>
      <c r="D24" s="115" t="s">
        <v>124</v>
      </c>
      <c r="E24" s="70">
        <v>0</v>
      </c>
      <c r="F24" s="89">
        <f>IF(D24="CAL",(52*E24/4.3333),(IF(D24="ACAD",(32*E24/4.33333),IF(D24="SUMR",(14*E24/4.33333),IF(D24="PT",(0),0)))))</f>
        <v>0</v>
      </c>
      <c r="G24" s="69">
        <v>0</v>
      </c>
      <c r="J24" s="161">
        <f>ROUND(G24*E24,0)</f>
        <v>0</v>
      </c>
      <c r="K24" s="181">
        <f>ROUND(J24*'RATES-Non Fed'!E40,0)</f>
        <v>0</v>
      </c>
      <c r="L24" s="182">
        <f>ROUND(K24+J24,0)</f>
        <v>0</v>
      </c>
      <c r="M24" s="176">
        <f>ROUND((J24*1.02),0)</f>
        <v>0</v>
      </c>
      <c r="N24" s="181">
        <f>ROUND(M24*'RATES-Non Fed'!G40,0)</f>
        <v>0</v>
      </c>
      <c r="O24" s="182">
        <f>ROUND(M24+N24,0)</f>
        <v>0</v>
      </c>
      <c r="P24" s="176">
        <f>ROUND((M24*1.02),0)</f>
        <v>0</v>
      </c>
      <c r="Q24" s="181">
        <f>ROUND(P24*'RATES-Non Fed'!I40,0)</f>
        <v>0</v>
      </c>
      <c r="R24" s="182">
        <f>ROUND(P24+Q24,0)</f>
        <v>0</v>
      </c>
      <c r="S24" s="176">
        <f>ROUND((P24*1.02),0)</f>
        <v>0</v>
      </c>
      <c r="T24" s="181">
        <f>ROUND(S24*'RATES-Non Fed'!K40,0)</f>
        <v>0</v>
      </c>
      <c r="U24" s="204">
        <f>SUM(S24:T24)</f>
        <v>0</v>
      </c>
      <c r="V24" s="176">
        <f>ROUND((S24*1.02),0)</f>
        <v>0</v>
      </c>
      <c r="W24" s="181">
        <f>ROUND(V24*'RATES-Non Fed'!M40,0)</f>
        <v>0</v>
      </c>
      <c r="X24" s="204">
        <f>SUM(V24:W24)</f>
        <v>0</v>
      </c>
      <c r="Y24" s="179">
        <f>SUM(L24+O24+R24+U24+X24)</f>
        <v>0</v>
      </c>
    </row>
    <row r="25" spans="1:25" ht="15.75">
      <c r="A25" s="1"/>
      <c r="B25" s="1"/>
      <c r="C25" s="1"/>
      <c r="D25" s="25" t="s">
        <v>185</v>
      </c>
      <c r="E25" s="26"/>
      <c r="F25" s="26"/>
      <c r="G25" s="1"/>
      <c r="H25" s="1"/>
      <c r="I25" s="1"/>
      <c r="J25" s="165">
        <f aca="true" t="shared" si="13" ref="J25:Y25">SUM(J21:J24)</f>
        <v>0</v>
      </c>
      <c r="K25" s="130">
        <f t="shared" si="13"/>
        <v>0</v>
      </c>
      <c r="L25" s="46">
        <f t="shared" si="13"/>
        <v>0</v>
      </c>
      <c r="M25" s="76">
        <f t="shared" si="13"/>
        <v>0</v>
      </c>
      <c r="N25" s="6">
        <f t="shared" si="13"/>
        <v>0</v>
      </c>
      <c r="O25" s="76">
        <f t="shared" si="13"/>
        <v>0</v>
      </c>
      <c r="P25" s="42">
        <f t="shared" si="13"/>
        <v>0</v>
      </c>
      <c r="Q25" s="42">
        <f t="shared" si="13"/>
        <v>0</v>
      </c>
      <c r="R25" s="76">
        <f t="shared" si="13"/>
        <v>0</v>
      </c>
      <c r="S25" s="42">
        <f t="shared" si="13"/>
        <v>0</v>
      </c>
      <c r="T25" s="42">
        <f t="shared" si="13"/>
        <v>0</v>
      </c>
      <c r="U25" s="76">
        <f t="shared" si="13"/>
        <v>0</v>
      </c>
      <c r="V25" s="76">
        <f t="shared" si="13"/>
        <v>0</v>
      </c>
      <c r="W25" s="42">
        <f t="shared" si="13"/>
        <v>0</v>
      </c>
      <c r="X25" s="206">
        <f t="shared" si="13"/>
        <v>0</v>
      </c>
      <c r="Y25" s="207">
        <f t="shared" si="13"/>
        <v>0</v>
      </c>
    </row>
    <row r="26" spans="1:25" ht="7.5" customHeight="1">
      <c r="A26" s="1"/>
      <c r="B26" s="1"/>
      <c r="C26" s="1"/>
      <c r="D26" s="26"/>
      <c r="E26" s="26"/>
      <c r="F26" s="26"/>
      <c r="G26" s="1"/>
      <c r="H26" s="1"/>
      <c r="I26" s="1"/>
      <c r="J26" s="166"/>
      <c r="K26" s="130"/>
      <c r="L26" s="46"/>
      <c r="M26" s="160"/>
      <c r="N26" s="130"/>
      <c r="O26" s="46"/>
      <c r="P26" s="160"/>
      <c r="Q26" s="130"/>
      <c r="R26" s="46"/>
      <c r="T26" s="6"/>
      <c r="U26"/>
      <c r="W26"/>
      <c r="X26"/>
      <c r="Y26" s="42"/>
    </row>
    <row r="27" spans="1:25" ht="15.75">
      <c r="A27" s="22" t="s">
        <v>182</v>
      </c>
      <c r="B27" s="22" t="s">
        <v>17</v>
      </c>
      <c r="C27" s="1"/>
      <c r="D27" s="26"/>
      <c r="E27" s="1"/>
      <c r="F27" s="1"/>
      <c r="G27" s="41"/>
      <c r="H27" s="1"/>
      <c r="I27" s="1"/>
      <c r="J27" s="164"/>
      <c r="K27" s="126"/>
      <c r="L27" s="117"/>
      <c r="M27" s="164"/>
      <c r="N27" s="130"/>
      <c r="O27" s="46"/>
      <c r="P27" s="164"/>
      <c r="Q27" s="130"/>
      <c r="R27" s="46"/>
      <c r="T27" s="6"/>
      <c r="U27"/>
      <c r="W27"/>
      <c r="X27"/>
      <c r="Y27" s="42"/>
    </row>
    <row r="28" spans="1:24" ht="15.75">
      <c r="A28" s="1"/>
      <c r="C28" s="13" t="s">
        <v>87</v>
      </c>
      <c r="D28" s="41" t="s">
        <v>121</v>
      </c>
      <c r="E28" s="68"/>
      <c r="F28" s="68"/>
      <c r="G28" s="59"/>
      <c r="J28" s="161"/>
      <c r="K28" s="198"/>
      <c r="L28" s="50"/>
      <c r="M28" s="161"/>
      <c r="N28" s="199"/>
      <c r="O28" s="122"/>
      <c r="P28" s="161"/>
      <c r="Q28" s="199"/>
      <c r="R28" s="122"/>
      <c r="T28" s="5"/>
      <c r="U28"/>
      <c r="W28"/>
      <c r="X28"/>
    </row>
    <row r="29" spans="1:25" ht="15.75">
      <c r="A29" s="1"/>
      <c r="C29" s="13"/>
      <c r="D29" s="87"/>
      <c r="E29" s="70">
        <v>0</v>
      </c>
      <c r="F29" s="88">
        <f>SUM(52*E29/4.3333)</f>
        <v>0</v>
      </c>
      <c r="G29" s="69">
        <v>0</v>
      </c>
      <c r="J29" s="161">
        <f>ROUND(G29*E29,0)</f>
        <v>0</v>
      </c>
      <c r="K29" s="198">
        <f>ROUND(J29*'RATES-Non Fed'!E39,0)</f>
        <v>0</v>
      </c>
      <c r="L29" s="50">
        <f>SUM(J29:K29)</f>
        <v>0</v>
      </c>
      <c r="M29" s="161">
        <f>ROUND(J29*1.02,0)</f>
        <v>0</v>
      </c>
      <c r="N29" s="198">
        <f>ROUND(M29*'RATES-Non Fed'!G39,0)</f>
        <v>0</v>
      </c>
      <c r="O29" s="50">
        <f>SUM(M29:N29)</f>
        <v>0</v>
      </c>
      <c r="P29" s="161">
        <f>ROUND(M29*1.02,0)</f>
        <v>0</v>
      </c>
      <c r="Q29" s="198">
        <f>ROUND(P29*'RATES-Non Fed'!I39,0)</f>
        <v>0</v>
      </c>
      <c r="R29" s="50">
        <f>SUM(P29:Q29)</f>
        <v>0</v>
      </c>
      <c r="S29" s="161">
        <f>ROUND(P29*1.02,0)</f>
        <v>0</v>
      </c>
      <c r="T29" s="198">
        <f>ROUND(S29*'RATES-Non Fed'!K39,0)</f>
        <v>0</v>
      </c>
      <c r="U29" s="50">
        <f>SUM(S29:T29)</f>
        <v>0</v>
      </c>
      <c r="V29" s="161">
        <f>ROUND(S29*1.02,0)</f>
        <v>0</v>
      </c>
      <c r="W29" s="198">
        <f>ROUND(V29*'RATES-Non Fed'!M39,0)</f>
        <v>0</v>
      </c>
      <c r="X29" s="50">
        <f>SUM(V29:W29)</f>
        <v>0</v>
      </c>
      <c r="Y29" s="42">
        <f>SUM(L29+O29+R29+U29)</f>
        <v>0</v>
      </c>
    </row>
    <row r="30" spans="1:25" ht="15.75">
      <c r="A30" s="1"/>
      <c r="C30" s="13"/>
      <c r="D30" s="1"/>
      <c r="E30" s="70">
        <v>0</v>
      </c>
      <c r="F30" s="88">
        <f>SUM(52*E30/4.3333)</f>
        <v>0</v>
      </c>
      <c r="G30" s="69">
        <v>0</v>
      </c>
      <c r="J30" s="161">
        <f>ROUND(G30*E30,0)</f>
        <v>0</v>
      </c>
      <c r="K30" s="198">
        <f>ROUND(J30*'RATES-Non Fed'!E39,0)</f>
        <v>0</v>
      </c>
      <c r="L30" s="50">
        <f>SUM(J30:K30)</f>
        <v>0</v>
      </c>
      <c r="M30" s="161">
        <f>ROUND(J30*1.02,0)</f>
        <v>0</v>
      </c>
      <c r="N30" s="198">
        <f>ROUND(M30*'RATES-Non Fed'!G39,0)</f>
        <v>0</v>
      </c>
      <c r="O30" s="50">
        <f>SUM(M30:N30)</f>
        <v>0</v>
      </c>
      <c r="P30" s="161">
        <f>ROUND(M30*1.02,0)</f>
        <v>0</v>
      </c>
      <c r="Q30" s="198">
        <f>ROUND(P30*'RATES-Non Fed'!I39,0)</f>
        <v>0</v>
      </c>
      <c r="R30" s="50">
        <f>SUM(P30:Q30)</f>
        <v>0</v>
      </c>
      <c r="S30" s="161">
        <f>ROUND(P30*1.02,0)</f>
        <v>0</v>
      </c>
      <c r="T30" s="198">
        <f>ROUND(S30*'RATES-Non Fed'!K39,0)</f>
        <v>0</v>
      </c>
      <c r="U30" s="50">
        <f>SUM(S30:T30)</f>
        <v>0</v>
      </c>
      <c r="V30" s="161">
        <f>ROUND(S30*1.02,0)</f>
        <v>0</v>
      </c>
      <c r="W30" s="198">
        <f>ROUND(V30*'RATES-Non Fed'!M39,0)</f>
        <v>0</v>
      </c>
      <c r="X30" s="50">
        <f>SUM(V30:W30)</f>
        <v>0</v>
      </c>
      <c r="Y30" s="42">
        <f>SUM(L30+O30+R30+U30)</f>
        <v>0</v>
      </c>
    </row>
    <row r="31" spans="1:25" ht="15.75">
      <c r="A31" s="1"/>
      <c r="C31" s="13"/>
      <c r="D31" s="1"/>
      <c r="E31" s="70">
        <v>0</v>
      </c>
      <c r="F31" s="88">
        <f>SUM(52*E31/4.3333)</f>
        <v>0</v>
      </c>
      <c r="G31" s="69">
        <v>0</v>
      </c>
      <c r="J31" s="176">
        <f>ROUND(G31*E31,0)</f>
        <v>0</v>
      </c>
      <c r="K31" s="177">
        <f>ROUND(J31*'RATES-Non Fed'!E39,0)</f>
        <v>0</v>
      </c>
      <c r="L31" s="178">
        <f>SUM(J31:K31)</f>
        <v>0</v>
      </c>
      <c r="M31" s="176">
        <f>ROUND(J31*1.02,0)</f>
        <v>0</v>
      </c>
      <c r="N31" s="177">
        <f>ROUND(M31*'RATES-Non Fed'!G39,0)</f>
        <v>0</v>
      </c>
      <c r="O31" s="178">
        <f>SUM(M31:N31)</f>
        <v>0</v>
      </c>
      <c r="P31" s="176">
        <f>ROUND(M31*1.02,0)</f>
        <v>0</v>
      </c>
      <c r="Q31" s="177">
        <f>ROUND(P31*'RATES-Non Fed'!I39,0)</f>
        <v>0</v>
      </c>
      <c r="R31" s="178">
        <f>SUM(P31:Q31)</f>
        <v>0</v>
      </c>
      <c r="S31" s="176">
        <f>ROUND(P31*1.02,0)</f>
        <v>0</v>
      </c>
      <c r="T31" s="177">
        <f>ROUND(S31*'RATES-Non Fed'!K39,0)</f>
        <v>0</v>
      </c>
      <c r="U31" s="178">
        <f>SUM(S31:T31)</f>
        <v>0</v>
      </c>
      <c r="V31" s="176">
        <f>ROUND(S31*1.02,0)</f>
        <v>0</v>
      </c>
      <c r="W31" s="177">
        <f>ROUND(V31*'RATES-Non Fed'!M39,0)</f>
        <v>0</v>
      </c>
      <c r="X31" s="178">
        <f>SUM(V31:W31)</f>
        <v>0</v>
      </c>
      <c r="Y31" s="179">
        <f>SUM(L31+O31+R31+U31)</f>
        <v>0</v>
      </c>
    </row>
    <row r="32" spans="1:25" ht="15.75">
      <c r="A32" s="1"/>
      <c r="C32" s="13"/>
      <c r="D32" s="1" t="s">
        <v>122</v>
      </c>
      <c r="E32" s="70"/>
      <c r="F32" s="70"/>
      <c r="G32" s="69"/>
      <c r="J32" s="167">
        <f aca="true" t="shared" si="14" ref="J32:U32">SUM(J29:J31)</f>
        <v>0</v>
      </c>
      <c r="K32" s="198">
        <f t="shared" si="14"/>
        <v>0</v>
      </c>
      <c r="L32" s="50">
        <f t="shared" si="14"/>
        <v>0</v>
      </c>
      <c r="M32" s="167">
        <f t="shared" si="14"/>
        <v>0</v>
      </c>
      <c r="N32" s="199">
        <f t="shared" si="14"/>
        <v>0</v>
      </c>
      <c r="O32" s="122">
        <f t="shared" si="14"/>
        <v>0</v>
      </c>
      <c r="P32" s="167">
        <f t="shared" si="14"/>
        <v>0</v>
      </c>
      <c r="Q32" s="199">
        <f t="shared" si="14"/>
        <v>0</v>
      </c>
      <c r="R32" s="122">
        <f t="shared" si="14"/>
        <v>0</v>
      </c>
      <c r="S32" s="167">
        <f t="shared" si="14"/>
        <v>0</v>
      </c>
      <c r="T32" s="199">
        <f t="shared" si="14"/>
        <v>0</v>
      </c>
      <c r="U32" s="122">
        <f t="shared" si="14"/>
        <v>0</v>
      </c>
      <c r="V32" s="167">
        <f>SUM(V29:V31)</f>
        <v>0</v>
      </c>
      <c r="W32" s="199">
        <f>SUM(W29:W31)</f>
        <v>0</v>
      </c>
      <c r="X32" s="122">
        <f>SUM(X29:X31)</f>
        <v>0</v>
      </c>
      <c r="Y32" s="42">
        <f>SUM(Y29:Y31)</f>
        <v>0</v>
      </c>
    </row>
    <row r="33" spans="1:25" ht="9.75" customHeight="1">
      <c r="A33" s="1"/>
      <c r="C33" s="13"/>
      <c r="D33" s="1"/>
      <c r="E33" s="70"/>
      <c r="F33" s="70"/>
      <c r="G33" s="69"/>
      <c r="J33" s="167"/>
      <c r="K33" s="198"/>
      <c r="L33" s="50"/>
      <c r="M33" s="167"/>
      <c r="N33" s="199"/>
      <c r="O33" s="122"/>
      <c r="P33" s="167"/>
      <c r="Q33" s="199"/>
      <c r="R33" s="122"/>
      <c r="T33" s="5"/>
      <c r="U33"/>
      <c r="W33"/>
      <c r="X33"/>
      <c r="Y33" s="42"/>
    </row>
    <row r="34" spans="1:25" ht="15.75">
      <c r="A34" s="1"/>
      <c r="C34" s="13" t="s">
        <v>88</v>
      </c>
      <c r="D34" s="1"/>
      <c r="E34" s="70">
        <v>0</v>
      </c>
      <c r="F34" s="88">
        <f>SUM(52*E34/4.3333)</f>
        <v>0</v>
      </c>
      <c r="G34" s="69">
        <v>0</v>
      </c>
      <c r="J34" s="161">
        <f>ROUND(G34*E34,0)</f>
        <v>0</v>
      </c>
      <c r="K34" s="198">
        <f>ROUND(J34*'RATES-Non Fed'!E43,0)</f>
        <v>0</v>
      </c>
      <c r="L34" s="50">
        <f>SUM(J34:K34)</f>
        <v>0</v>
      </c>
      <c r="M34" s="161">
        <f>ROUND((J34*1.02),0)</f>
        <v>0</v>
      </c>
      <c r="N34" s="198">
        <f>ROUND(M34*'RATES-Non Fed'!G43,0)</f>
        <v>0</v>
      </c>
      <c r="O34" s="50">
        <f>SUM(M34:N34)</f>
        <v>0</v>
      </c>
      <c r="P34" s="161">
        <f>ROUND((M34*1.02),0)</f>
        <v>0</v>
      </c>
      <c r="Q34" s="198">
        <f>ROUND(P34*'RATES-Non Fed'!I43,0)</f>
        <v>0</v>
      </c>
      <c r="R34" s="50">
        <f>SUM(P34:Q34)</f>
        <v>0</v>
      </c>
      <c r="S34" s="161">
        <f>ROUND((P34*1.02),0)</f>
        <v>0</v>
      </c>
      <c r="T34" s="198">
        <f>ROUND(S34*'RATES-Non Fed'!K43,0)</f>
        <v>0</v>
      </c>
      <c r="U34" s="50">
        <f>SUM(S34:T34)</f>
        <v>0</v>
      </c>
      <c r="V34" s="161">
        <f>ROUND((S34*1.02),0)</f>
        <v>0</v>
      </c>
      <c r="W34" s="198">
        <f>ROUND(V34*'RATES-Non Fed'!M43,0)</f>
        <v>0</v>
      </c>
      <c r="X34" s="50">
        <f>SUM(V34:W34)</f>
        <v>0</v>
      </c>
      <c r="Y34" s="42">
        <f>SUM(L34+O34+R34+U34)</f>
        <v>0</v>
      </c>
    </row>
    <row r="35" spans="1:25" ht="15.75">
      <c r="A35" s="1"/>
      <c r="C35" s="13" t="s">
        <v>18</v>
      </c>
      <c r="D35" s="1"/>
      <c r="E35" s="70">
        <v>0</v>
      </c>
      <c r="F35" s="88">
        <f>SUM(52*E35/4.3333)</f>
        <v>0</v>
      </c>
      <c r="G35" s="69">
        <v>0</v>
      </c>
      <c r="J35" s="161">
        <f>ROUND(G35*E35,0)</f>
        <v>0</v>
      </c>
      <c r="K35" s="198">
        <f>ROUND(J35*'RATES-Non Fed'!E42,0)</f>
        <v>0</v>
      </c>
      <c r="L35" s="50">
        <f>SUM(J35:K35)</f>
        <v>0</v>
      </c>
      <c r="M35" s="161">
        <f>ROUND((J35*1.02),0)</f>
        <v>0</v>
      </c>
      <c r="N35" s="198">
        <f>ROUND(M35*'RATES-Non Fed'!G42,0)</f>
        <v>0</v>
      </c>
      <c r="O35" s="50">
        <f>SUM(M35:N35)</f>
        <v>0</v>
      </c>
      <c r="P35" s="161">
        <f>ROUND((M35*1.02),0)</f>
        <v>0</v>
      </c>
      <c r="Q35" s="198">
        <f>ROUND(P35*'RATES-Non Fed'!I42,0)</f>
        <v>0</v>
      </c>
      <c r="R35" s="50">
        <f>SUM(P35:Q35)</f>
        <v>0</v>
      </c>
      <c r="S35" s="161">
        <f>ROUND((P35*1.02),0)</f>
        <v>0</v>
      </c>
      <c r="T35" s="198">
        <f>ROUND(S35*'RATES-Non Fed'!K42,0)</f>
        <v>0</v>
      </c>
      <c r="U35" s="50">
        <f>SUM(S35:T35)</f>
        <v>0</v>
      </c>
      <c r="V35" s="161">
        <f>ROUND((S35*1.02),0)</f>
        <v>0</v>
      </c>
      <c r="W35" s="198">
        <f>ROUND(V35*'RATES-Non Fed'!M42,0)</f>
        <v>0</v>
      </c>
      <c r="X35" s="50">
        <f>SUM(V35:W35)</f>
        <v>0</v>
      </c>
      <c r="Y35" s="42">
        <f>SUM(L35+O35+R35+U35)</f>
        <v>0</v>
      </c>
    </row>
    <row r="36" spans="1:25" ht="15.75">
      <c r="A36" s="1"/>
      <c r="C36" s="13" t="s">
        <v>19</v>
      </c>
      <c r="D36" s="1"/>
      <c r="E36" s="70">
        <v>0</v>
      </c>
      <c r="F36" s="88">
        <f>SUM(52*E36/4.3333)</f>
        <v>0</v>
      </c>
      <c r="G36" s="69">
        <v>0</v>
      </c>
      <c r="J36" s="161">
        <f>ROUND(G36*E36,0)</f>
        <v>0</v>
      </c>
      <c r="K36" s="198">
        <f>ROUND(J36*'RATES-Non Fed'!E42,0)</f>
        <v>0</v>
      </c>
      <c r="L36" s="50">
        <f>SUM(J36:K36)</f>
        <v>0</v>
      </c>
      <c r="M36" s="161">
        <f>ROUND((J36*1.02),0)</f>
        <v>0</v>
      </c>
      <c r="N36" s="198">
        <f>ROUND(M36*'RATES-Non Fed'!G42,0)</f>
        <v>0</v>
      </c>
      <c r="O36" s="50">
        <f>SUM(M36:N36)</f>
        <v>0</v>
      </c>
      <c r="P36" s="161">
        <f>ROUND((M36*1.02),0)</f>
        <v>0</v>
      </c>
      <c r="Q36" s="198">
        <f>ROUND(P36*'RATES-Non Fed'!I42,0)</f>
        <v>0</v>
      </c>
      <c r="R36" s="50">
        <f>SUM(P36:Q36)</f>
        <v>0</v>
      </c>
      <c r="S36" s="161">
        <f>ROUND((P36*1.02),0)</f>
        <v>0</v>
      </c>
      <c r="T36" s="198">
        <f>ROUND(S36*'RATES-Non Fed'!K42,0)</f>
        <v>0</v>
      </c>
      <c r="U36" s="50">
        <f>SUM(S36:T36)</f>
        <v>0</v>
      </c>
      <c r="V36" s="161">
        <f>ROUND((S36*1.02),0)</f>
        <v>0</v>
      </c>
      <c r="W36" s="198">
        <f>ROUND(V36*'RATES-Non Fed'!M42,0)</f>
        <v>0</v>
      </c>
      <c r="X36" s="50">
        <f>SUM(V36:W36)</f>
        <v>0</v>
      </c>
      <c r="Y36" s="42">
        <f>SUM(L36+O36+R36+U36)</f>
        <v>0</v>
      </c>
    </row>
    <row r="37" spans="1:25" s="84" customFormat="1" ht="15.75">
      <c r="A37" s="117"/>
      <c r="C37" s="116" t="s">
        <v>20</v>
      </c>
      <c r="D37" s="117"/>
      <c r="E37" s="70">
        <v>0</v>
      </c>
      <c r="F37" s="88">
        <f>SUM(52*E37/4.3333)</f>
        <v>0</v>
      </c>
      <c r="G37" s="69">
        <v>0</v>
      </c>
      <c r="J37" s="161">
        <f>ROUND(G37*E37,0)</f>
        <v>0</v>
      </c>
      <c r="K37" s="198">
        <f>ROUND(J37*'RATES-Non Fed'!E43,0)</f>
        <v>0</v>
      </c>
      <c r="L37" s="50">
        <f>SUM(J37:K37)</f>
        <v>0</v>
      </c>
      <c r="M37" s="161">
        <f>ROUND((J37*1.02),0)</f>
        <v>0</v>
      </c>
      <c r="N37" s="198">
        <f>ROUND(M37*'RATES-Non Fed'!G43,0)</f>
        <v>0</v>
      </c>
      <c r="O37" s="50">
        <f>SUM(M37:N37)</f>
        <v>0</v>
      </c>
      <c r="P37" s="161">
        <f>ROUND((M37*1.02),0)</f>
        <v>0</v>
      </c>
      <c r="Q37" s="198">
        <f>ROUND(P37*'RATES-Non Fed'!I43,0)</f>
        <v>0</v>
      </c>
      <c r="R37" s="50">
        <f>SUM(P37:Q37)</f>
        <v>0</v>
      </c>
      <c r="S37" s="161">
        <f>ROUND((P37*1.02),0)</f>
        <v>0</v>
      </c>
      <c r="T37" s="198">
        <f>ROUND(S37*'RATES-Non Fed'!K43,0)</f>
        <v>0</v>
      </c>
      <c r="U37" s="50">
        <f>SUM(S37:T37)</f>
        <v>0</v>
      </c>
      <c r="V37" s="161">
        <f>ROUND((S37*1.02),0)</f>
        <v>0</v>
      </c>
      <c r="W37" s="198">
        <f>ROUND(V37*'RATES-Non Fed'!M43,0)</f>
        <v>0</v>
      </c>
      <c r="X37" s="50">
        <f>SUM(V37:W37)</f>
        <v>0</v>
      </c>
      <c r="Y37" s="42">
        <f>SUM(L37+O37+R37+U37)</f>
        <v>0</v>
      </c>
    </row>
    <row r="38" spans="1:25" s="84" customFormat="1" ht="15.75">
      <c r="A38" s="117"/>
      <c r="C38" s="116" t="s">
        <v>89</v>
      </c>
      <c r="D38" s="117"/>
      <c r="E38" s="70">
        <v>0</v>
      </c>
      <c r="F38" s="88">
        <f>SUM(52*E38/4.3333)</f>
        <v>0</v>
      </c>
      <c r="G38" s="69">
        <v>0</v>
      </c>
      <c r="J38" s="176">
        <f>ROUND(G38*E38,0)</f>
        <v>0</v>
      </c>
      <c r="K38" s="177">
        <f>ROUND(J38*'RATES-Non Fed'!E41,0)</f>
        <v>0</v>
      </c>
      <c r="L38" s="178">
        <f>SUM(J38:K38)</f>
        <v>0</v>
      </c>
      <c r="M38" s="176">
        <f>ROUND((J38*1.02),0)</f>
        <v>0</v>
      </c>
      <c r="N38" s="184">
        <f>ROUND(M38*'RATES-Non Fed'!G41,0)</f>
        <v>0</v>
      </c>
      <c r="O38" s="178">
        <f>SUM(M38:N38)</f>
        <v>0</v>
      </c>
      <c r="P38" s="176">
        <f>ROUND((M38*1.02),0)</f>
        <v>0</v>
      </c>
      <c r="Q38" s="184">
        <f>ROUND(P38*'RATES-Non Fed'!I41,0)</f>
        <v>0</v>
      </c>
      <c r="R38" s="178">
        <f>SUM(P38:Q38)</f>
        <v>0</v>
      </c>
      <c r="S38" s="176">
        <f>ROUND((P38*1.02),0)</f>
        <v>0</v>
      </c>
      <c r="T38" s="184">
        <f>ROUND(S38*'RATES-Non Fed'!K41,0)</f>
        <v>0</v>
      </c>
      <c r="U38" s="178">
        <f>SUM(S38:T38)</f>
        <v>0</v>
      </c>
      <c r="V38" s="176">
        <f>ROUND((S38*1.02),0)</f>
        <v>0</v>
      </c>
      <c r="W38" s="184">
        <f>ROUND(V38*'RATES-Non Fed'!M41,0)</f>
        <v>0</v>
      </c>
      <c r="X38" s="178">
        <f>SUM(V38:W38)</f>
        <v>0</v>
      </c>
      <c r="Y38" s="179">
        <f>SUM(L38+O38+R38+U38)</f>
        <v>0</v>
      </c>
    </row>
    <row r="39" spans="1:25" ht="15.75">
      <c r="A39" s="1"/>
      <c r="B39" s="1"/>
      <c r="C39" s="1"/>
      <c r="D39" s="162" t="s">
        <v>152</v>
      </c>
      <c r="E39" s="26"/>
      <c r="F39" s="26"/>
      <c r="G39" s="1"/>
      <c r="H39" s="1"/>
      <c r="I39" s="1"/>
      <c r="J39" s="183">
        <f aca="true" t="shared" si="15" ref="J39:X39">SUM(J19+J25+J32+J34+J35+J36+J37+J38)</f>
        <v>0</v>
      </c>
      <c r="K39" s="198">
        <f t="shared" si="15"/>
        <v>0</v>
      </c>
      <c r="L39" s="50">
        <f t="shared" si="15"/>
        <v>0</v>
      </c>
      <c r="M39" s="183">
        <f t="shared" si="15"/>
        <v>0</v>
      </c>
      <c r="N39" s="198">
        <f t="shared" si="15"/>
        <v>0</v>
      </c>
      <c r="O39" s="50">
        <f t="shared" si="15"/>
        <v>0</v>
      </c>
      <c r="P39" s="183">
        <f t="shared" si="15"/>
        <v>0</v>
      </c>
      <c r="Q39" s="198">
        <f t="shared" si="15"/>
        <v>0</v>
      </c>
      <c r="R39" s="50">
        <f t="shared" si="15"/>
        <v>0</v>
      </c>
      <c r="S39" s="183">
        <f t="shared" si="15"/>
        <v>0</v>
      </c>
      <c r="T39" s="198">
        <f t="shared" si="15"/>
        <v>0</v>
      </c>
      <c r="U39" s="50">
        <f t="shared" si="15"/>
        <v>0</v>
      </c>
      <c r="V39" s="183">
        <f t="shared" si="15"/>
        <v>0</v>
      </c>
      <c r="W39" s="198">
        <f t="shared" si="15"/>
        <v>0</v>
      </c>
      <c r="X39" s="50">
        <f t="shared" si="15"/>
        <v>0</v>
      </c>
      <c r="Y39" s="42">
        <f>SUM(Y34:Y38)</f>
        <v>0</v>
      </c>
    </row>
    <row r="40" spans="1:26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30"/>
      <c r="L40" s="150"/>
      <c r="M40" s="64"/>
      <c r="P40" s="64"/>
      <c r="Q40" s="130"/>
      <c r="R40" s="46"/>
      <c r="S40" s="64"/>
      <c r="T40" s="130"/>
      <c r="U40" s="46"/>
      <c r="V40" s="64"/>
      <c r="W40" s="130"/>
      <c r="X40" s="46"/>
      <c r="Y40" s="64" t="s">
        <v>1</v>
      </c>
      <c r="Z40" s="6"/>
    </row>
    <row r="41" spans="1:26" s="31" customFormat="1" ht="18.75" customHeight="1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32"/>
      <c r="L41" s="152"/>
      <c r="M41" s="47">
        <f>SUM(M39+N39)</f>
        <v>0</v>
      </c>
      <c r="N41" s="132"/>
      <c r="O41" s="118"/>
      <c r="P41" s="47">
        <f>SUM(P39+Q39)</f>
        <v>0</v>
      </c>
      <c r="Q41" s="132"/>
      <c r="R41" s="118"/>
      <c r="S41" s="47">
        <f>SUM(S39+T39)</f>
        <v>0</v>
      </c>
      <c r="T41" s="132"/>
      <c r="U41" s="118"/>
      <c r="V41" s="47">
        <f>SUM(V39+W39)</f>
        <v>0</v>
      </c>
      <c r="W41" s="132"/>
      <c r="X41" s="118"/>
      <c r="Y41" s="47">
        <f>SUM(J41+M41+P41+S41+V41)</f>
        <v>0</v>
      </c>
      <c r="Z41" s="29"/>
    </row>
    <row r="42" spans="2:26" ht="12.75" customHeight="1">
      <c r="B42" s="1"/>
      <c r="C42" s="28"/>
      <c r="D42" s="26"/>
      <c r="E42" s="26"/>
      <c r="F42" s="26"/>
      <c r="G42" s="26"/>
      <c r="H42" s="26"/>
      <c r="I42" s="26"/>
      <c r="J42" s="52"/>
      <c r="K42" s="130"/>
      <c r="L42" s="150"/>
      <c r="M42" s="46"/>
      <c r="N42" s="130"/>
      <c r="O42" s="46"/>
      <c r="P42" s="46"/>
      <c r="Q42" s="130"/>
      <c r="R42" s="46"/>
      <c r="S42" s="46"/>
      <c r="T42" s="130"/>
      <c r="U42" s="46"/>
      <c r="V42" s="46"/>
      <c r="W42" s="130"/>
      <c r="X42" s="46"/>
      <c r="Y42" s="46" t="s">
        <v>1</v>
      </c>
      <c r="Z42" s="6"/>
    </row>
    <row r="43" spans="1:26" ht="15.75">
      <c r="A43" s="1"/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30"/>
      <c r="L43" s="150"/>
      <c r="M43" s="50"/>
      <c r="N43" s="130"/>
      <c r="O43" s="46"/>
      <c r="P43" s="50"/>
      <c r="Q43" s="130"/>
      <c r="R43" s="46"/>
      <c r="S43" s="50"/>
      <c r="T43" s="130"/>
      <c r="U43" s="46"/>
      <c r="V43" s="50"/>
      <c r="W43" s="130"/>
      <c r="X43" s="46"/>
      <c r="Y43" s="50" t="s">
        <v>1</v>
      </c>
      <c r="Z43" s="6"/>
    </row>
    <row r="44" spans="1:26" ht="15.75">
      <c r="A44" s="22" t="s">
        <v>24</v>
      </c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30"/>
      <c r="L44" s="150"/>
      <c r="M44" s="42">
        <v>0</v>
      </c>
      <c r="N44" s="131"/>
      <c r="O44" s="50"/>
      <c r="P44" s="42">
        <v>0</v>
      </c>
      <c r="Q44" s="131"/>
      <c r="R44" s="50"/>
      <c r="S44" s="42">
        <v>0</v>
      </c>
      <c r="T44" s="131"/>
      <c r="U44" s="50"/>
      <c r="V44" s="42">
        <v>0</v>
      </c>
      <c r="W44" s="131"/>
      <c r="X44" s="50"/>
      <c r="Y44" s="42">
        <f>SUM(J44:V44)</f>
        <v>0</v>
      </c>
      <c r="Z44" s="6"/>
    </row>
    <row r="45" spans="1:26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30"/>
      <c r="L45" s="150"/>
      <c r="M45" s="42">
        <v>0</v>
      </c>
      <c r="N45" s="131"/>
      <c r="O45" s="50"/>
      <c r="P45" s="42">
        <v>0</v>
      </c>
      <c r="Q45" s="131"/>
      <c r="R45" s="50"/>
      <c r="S45" s="42">
        <v>0</v>
      </c>
      <c r="T45" s="131"/>
      <c r="U45" s="50"/>
      <c r="V45" s="42">
        <v>0</v>
      </c>
      <c r="W45" s="131"/>
      <c r="X45" s="50"/>
      <c r="Y45" s="42">
        <f>SUM(J45:V45)</f>
        <v>0</v>
      </c>
      <c r="Z45" s="6"/>
    </row>
    <row r="46" spans="1:26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33"/>
      <c r="L46" s="153"/>
      <c r="M46" s="53">
        <f>SUM(M44:M45)</f>
        <v>0</v>
      </c>
      <c r="N46" s="133"/>
      <c r="O46" s="48"/>
      <c r="P46" s="53">
        <f>SUM(P44:P45)</f>
        <v>0</v>
      </c>
      <c r="Q46" s="133"/>
      <c r="R46" s="48"/>
      <c r="S46" s="53">
        <f>SUM(S44:S45)</f>
        <v>0</v>
      </c>
      <c r="T46" s="133"/>
      <c r="U46" s="48"/>
      <c r="V46" s="53">
        <f>SUM(V44:V45)</f>
        <v>0</v>
      </c>
      <c r="W46" s="133"/>
      <c r="X46" s="48"/>
      <c r="Y46" s="53">
        <f>SUM(J46:V46)</f>
        <v>0</v>
      </c>
      <c r="Z46" s="29"/>
    </row>
    <row r="47" spans="1:26" ht="9" customHeight="1">
      <c r="A47" s="21"/>
      <c r="B47" s="1"/>
      <c r="C47" s="28"/>
      <c r="D47" s="26"/>
      <c r="E47" s="26"/>
      <c r="F47" s="26"/>
      <c r="G47" s="26"/>
      <c r="H47" s="26"/>
      <c r="I47" s="26"/>
      <c r="J47" s="52"/>
      <c r="K47" s="130"/>
      <c r="L47" s="150"/>
      <c r="M47" s="46"/>
      <c r="N47" s="130"/>
      <c r="O47" s="46"/>
      <c r="P47" s="46"/>
      <c r="Q47" s="130"/>
      <c r="R47" s="46"/>
      <c r="S47" s="46"/>
      <c r="T47" s="130"/>
      <c r="U47" s="46"/>
      <c r="V47" s="46"/>
      <c r="W47" s="130"/>
      <c r="X47" s="46"/>
      <c r="Y47" s="46"/>
      <c r="Z47" s="6"/>
    </row>
    <row r="48" spans="1:26" ht="15.75">
      <c r="A48" s="1"/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31"/>
      <c r="L48" s="151"/>
      <c r="M48" s="45" t="s">
        <v>1</v>
      </c>
      <c r="N48" s="131"/>
      <c r="O48" s="50"/>
      <c r="P48" s="45" t="s">
        <v>1</v>
      </c>
      <c r="Q48" s="131"/>
      <c r="R48" s="50"/>
      <c r="S48" s="45" t="s">
        <v>1</v>
      </c>
      <c r="T48" s="131"/>
      <c r="U48" s="50"/>
      <c r="V48" s="45" t="s">
        <v>1</v>
      </c>
      <c r="W48" s="131"/>
      <c r="X48" s="50"/>
      <c r="Y48" s="45"/>
      <c r="Z48" s="5"/>
    </row>
    <row r="49" spans="1:26" ht="15.75">
      <c r="A49" s="22" t="s">
        <v>28</v>
      </c>
      <c r="B49" s="21"/>
      <c r="C49" s="13" t="s">
        <v>30</v>
      </c>
      <c r="D49" s="10" t="s">
        <v>26</v>
      </c>
      <c r="E49" s="31"/>
      <c r="F49" s="31"/>
      <c r="J49" s="42">
        <v>0</v>
      </c>
      <c r="K49" s="131"/>
      <c r="L49" s="151"/>
      <c r="M49" s="42">
        <f>ROUND((J49*1.02),0)</f>
        <v>0</v>
      </c>
      <c r="N49" s="141"/>
      <c r="O49" s="122"/>
      <c r="P49" s="42">
        <f>ROUND((M49*1.02),0)</f>
        <v>0</v>
      </c>
      <c r="Q49" s="141"/>
      <c r="R49" s="122"/>
      <c r="S49" s="42">
        <f>ROUND((P49*1.02),0)</f>
        <v>0</v>
      </c>
      <c r="T49" s="141"/>
      <c r="U49" s="122"/>
      <c r="V49" s="42">
        <f>ROUND((S49*1.02),0)</f>
        <v>0</v>
      </c>
      <c r="W49" s="141"/>
      <c r="X49" s="122"/>
      <c r="Y49" s="42">
        <f>SUM(J49:V49)</f>
        <v>0</v>
      </c>
      <c r="Z49" s="5"/>
    </row>
    <row r="50" spans="1:26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31"/>
      <c r="L50" s="151"/>
      <c r="M50" s="42">
        <f>ROUND((J50*1.02),0)</f>
        <v>0</v>
      </c>
      <c r="N50" s="141"/>
      <c r="O50" s="122"/>
      <c r="P50" s="42">
        <f>ROUND((M50*1.02),0)</f>
        <v>0</v>
      </c>
      <c r="Q50" s="141"/>
      <c r="R50" s="122"/>
      <c r="S50" s="42">
        <f>ROUND((P50*1.02),0)</f>
        <v>0</v>
      </c>
      <c r="T50" s="141"/>
      <c r="U50" s="122"/>
      <c r="V50" s="42">
        <f>ROUND((S50*1.02),0)</f>
        <v>0</v>
      </c>
      <c r="W50" s="141"/>
      <c r="X50" s="122"/>
      <c r="Y50" s="42">
        <f>SUM(J50:V50)</f>
        <v>0</v>
      </c>
      <c r="Z50" s="5"/>
    </row>
    <row r="51" spans="1:26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33"/>
      <c r="L51" s="153"/>
      <c r="M51" s="55">
        <f>SUM(M49:M50)</f>
        <v>0</v>
      </c>
      <c r="N51" s="133"/>
      <c r="O51" s="48"/>
      <c r="P51" s="55">
        <f>SUM(P49:P50)</f>
        <v>0</v>
      </c>
      <c r="Q51" s="133"/>
      <c r="R51" s="48"/>
      <c r="S51" s="55">
        <f>SUM(S49:S50)</f>
        <v>0</v>
      </c>
      <c r="T51" s="133"/>
      <c r="U51" s="48"/>
      <c r="V51" s="55">
        <f>SUM(V49:V50)</f>
        <v>0</v>
      </c>
      <c r="W51" s="133"/>
      <c r="X51" s="48"/>
      <c r="Y51" s="55">
        <f>SUM(J51:V51)</f>
        <v>0</v>
      </c>
      <c r="Z51" s="29"/>
    </row>
    <row r="52" spans="1:26" ht="10.5" customHeight="1">
      <c r="A52" s="21"/>
      <c r="B52" s="1"/>
      <c r="C52" s="28"/>
      <c r="D52" s="26"/>
      <c r="E52" s="26"/>
      <c r="F52" s="26"/>
      <c r="G52" s="26"/>
      <c r="H52" s="26"/>
      <c r="I52" s="26"/>
      <c r="J52" s="52"/>
      <c r="K52" s="130"/>
      <c r="L52" s="150"/>
      <c r="M52" s="42"/>
      <c r="N52" s="130"/>
      <c r="O52" s="46"/>
      <c r="P52" s="42"/>
      <c r="Q52" s="130"/>
      <c r="R52" s="46"/>
      <c r="S52" s="42"/>
      <c r="T52" s="130"/>
      <c r="U52" s="46"/>
      <c r="V52" s="42"/>
      <c r="W52" s="130"/>
      <c r="X52" s="46"/>
      <c r="Y52" s="42"/>
      <c r="Z52" s="6"/>
    </row>
    <row r="53" spans="1:26" ht="15.75">
      <c r="A53" s="1"/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31"/>
      <c r="L53" s="151"/>
      <c r="M53" s="42" t="s">
        <v>1</v>
      </c>
      <c r="N53" s="131"/>
      <c r="O53" s="50"/>
      <c r="P53" s="42" t="s">
        <v>1</v>
      </c>
      <c r="Q53" s="131"/>
      <c r="R53" s="50"/>
      <c r="S53" s="42" t="s">
        <v>1</v>
      </c>
      <c r="T53" s="131"/>
      <c r="U53" s="50"/>
      <c r="V53" s="42" t="s">
        <v>1</v>
      </c>
      <c r="W53" s="131"/>
      <c r="X53" s="50"/>
      <c r="Y53" s="42"/>
      <c r="Z53" s="5"/>
    </row>
    <row r="54" spans="1:26" ht="15.75">
      <c r="A54" s="22" t="s">
        <v>33</v>
      </c>
      <c r="B54" s="21"/>
      <c r="C54" s="13" t="s">
        <v>35</v>
      </c>
      <c r="D54" s="3"/>
      <c r="E54" s="31"/>
      <c r="F54" s="31"/>
      <c r="J54" s="42">
        <v>0</v>
      </c>
      <c r="K54" s="131"/>
      <c r="L54" s="151"/>
      <c r="M54" s="42">
        <f>ROUND((J54*1.02),0)</f>
        <v>0</v>
      </c>
      <c r="N54" s="141"/>
      <c r="O54" s="122"/>
      <c r="P54" s="42">
        <f>ROUND((M54*1.02),0)</f>
        <v>0</v>
      </c>
      <c r="Q54" s="141"/>
      <c r="R54" s="122"/>
      <c r="S54" s="42">
        <f>ROUND((P54*1.02),0)</f>
        <v>0</v>
      </c>
      <c r="T54" s="141"/>
      <c r="U54" s="122"/>
      <c r="V54" s="42">
        <f aca="true" t="shared" si="16" ref="V54:V60">ROUND((S54*1.02),0)</f>
        <v>0</v>
      </c>
      <c r="W54" s="141"/>
      <c r="X54" s="122"/>
      <c r="Y54" s="42">
        <f aca="true" t="shared" si="17" ref="Y54:Y65">SUM(J54:V54)</f>
        <v>0</v>
      </c>
      <c r="Z54" s="5"/>
    </row>
    <row r="55" spans="1:26" ht="15.75">
      <c r="A55" s="21"/>
      <c r="B55" s="21"/>
      <c r="C55" s="13" t="s">
        <v>36</v>
      </c>
      <c r="D55" s="3"/>
      <c r="E55" s="31"/>
      <c r="F55" s="31"/>
      <c r="J55" s="42">
        <v>0</v>
      </c>
      <c r="K55" s="131"/>
      <c r="L55" s="151"/>
      <c r="M55" s="42">
        <f aca="true" t="shared" si="18" ref="M55:M60">ROUND((J55*1.02),0)</f>
        <v>0</v>
      </c>
      <c r="N55" s="141"/>
      <c r="O55" s="122"/>
      <c r="P55" s="42">
        <f aca="true" t="shared" si="19" ref="P55:P60">ROUND((M55*1.02),0)</f>
        <v>0</v>
      </c>
      <c r="Q55" s="141"/>
      <c r="R55" s="122"/>
      <c r="S55" s="42">
        <f aca="true" t="shared" si="20" ref="S55:S60">ROUND((P55*1.02),0)</f>
        <v>0</v>
      </c>
      <c r="T55" s="141"/>
      <c r="U55" s="122"/>
      <c r="V55" s="42">
        <f t="shared" si="16"/>
        <v>0</v>
      </c>
      <c r="W55" s="141"/>
      <c r="X55" s="122"/>
      <c r="Y55" s="42">
        <f t="shared" si="17"/>
        <v>0</v>
      </c>
      <c r="Z55" s="5"/>
    </row>
    <row r="56" spans="1:26" ht="15.75">
      <c r="A56" s="21"/>
      <c r="B56" s="21"/>
      <c r="C56" s="13" t="s">
        <v>37</v>
      </c>
      <c r="D56" s="3"/>
      <c r="E56" s="31"/>
      <c r="F56" s="31"/>
      <c r="J56" s="42">
        <v>0</v>
      </c>
      <c r="K56" s="131"/>
      <c r="L56" s="151"/>
      <c r="M56" s="42">
        <f t="shared" si="18"/>
        <v>0</v>
      </c>
      <c r="N56" s="141"/>
      <c r="O56" s="122"/>
      <c r="P56" s="42">
        <f t="shared" si="19"/>
        <v>0</v>
      </c>
      <c r="Q56" s="142"/>
      <c r="R56" s="42"/>
      <c r="S56" s="42">
        <f t="shared" si="20"/>
        <v>0</v>
      </c>
      <c r="T56" s="142"/>
      <c r="U56" s="42"/>
      <c r="V56" s="42">
        <f t="shared" si="16"/>
        <v>0</v>
      </c>
      <c r="W56" s="141"/>
      <c r="X56" s="122"/>
      <c r="Y56" s="42">
        <f t="shared" si="17"/>
        <v>0</v>
      </c>
      <c r="Z56" s="5"/>
    </row>
    <row r="57" spans="1:26" ht="15.75">
      <c r="A57" s="21"/>
      <c r="B57" s="21"/>
      <c r="C57" s="13" t="s">
        <v>38</v>
      </c>
      <c r="D57" s="3"/>
      <c r="E57" s="31"/>
      <c r="F57" s="31"/>
      <c r="J57" s="42">
        <v>0</v>
      </c>
      <c r="K57" s="131"/>
      <c r="L57" s="151"/>
      <c r="M57" s="42">
        <f t="shared" si="18"/>
        <v>0</v>
      </c>
      <c r="N57" s="141"/>
      <c r="O57" s="122"/>
      <c r="P57" s="42">
        <f t="shared" si="19"/>
        <v>0</v>
      </c>
      <c r="Q57" s="141"/>
      <c r="R57" s="122"/>
      <c r="S57" s="42">
        <f t="shared" si="20"/>
        <v>0</v>
      </c>
      <c r="T57" s="141"/>
      <c r="U57" s="122"/>
      <c r="V57" s="42">
        <f t="shared" si="16"/>
        <v>0</v>
      </c>
      <c r="W57" s="141"/>
      <c r="X57" s="122"/>
      <c r="Y57" s="42">
        <f t="shared" si="17"/>
        <v>0</v>
      </c>
      <c r="Z57" s="5"/>
    </row>
    <row r="58" spans="1:26" ht="15.75">
      <c r="A58" s="21"/>
      <c r="B58" s="21"/>
      <c r="C58" s="193" t="s">
        <v>102</v>
      </c>
      <c r="D58" s="3"/>
      <c r="E58" s="31"/>
      <c r="F58" s="31"/>
      <c r="J58" s="42">
        <v>0</v>
      </c>
      <c r="K58" s="131"/>
      <c r="L58" s="151"/>
      <c r="M58" s="42">
        <f t="shared" si="18"/>
        <v>0</v>
      </c>
      <c r="N58" s="141"/>
      <c r="O58" s="122"/>
      <c r="P58" s="42">
        <f t="shared" si="19"/>
        <v>0</v>
      </c>
      <c r="Q58" s="141"/>
      <c r="R58" s="122"/>
      <c r="S58" s="42">
        <f t="shared" si="20"/>
        <v>0</v>
      </c>
      <c r="T58" s="141"/>
      <c r="U58" s="122"/>
      <c r="V58" s="42">
        <f t="shared" si="16"/>
        <v>0</v>
      </c>
      <c r="W58" s="141"/>
      <c r="X58" s="122"/>
      <c r="Y58" s="42">
        <f t="shared" si="17"/>
        <v>0</v>
      </c>
      <c r="Z58" s="5"/>
    </row>
    <row r="59" spans="1:26" ht="15.75">
      <c r="A59" s="21"/>
      <c r="B59" s="21"/>
      <c r="C59" s="13" t="s">
        <v>188</v>
      </c>
      <c r="D59" s="3"/>
      <c r="E59" s="31"/>
      <c r="F59" s="31"/>
      <c r="J59" s="42">
        <v>0</v>
      </c>
      <c r="K59" s="131"/>
      <c r="L59" s="151"/>
      <c r="M59" s="42">
        <f t="shared" si="18"/>
        <v>0</v>
      </c>
      <c r="N59" s="142"/>
      <c r="O59" s="42"/>
      <c r="P59" s="42">
        <f t="shared" si="19"/>
        <v>0</v>
      </c>
      <c r="Q59" s="142"/>
      <c r="R59" s="42"/>
      <c r="S59" s="42">
        <f t="shared" si="20"/>
        <v>0</v>
      </c>
      <c r="T59" s="142"/>
      <c r="U59" s="42"/>
      <c r="V59" s="42">
        <f t="shared" si="16"/>
        <v>0</v>
      </c>
      <c r="W59" s="141"/>
      <c r="X59" s="122"/>
      <c r="Y59" s="42">
        <f t="shared" si="17"/>
        <v>0</v>
      </c>
      <c r="Z59" s="5"/>
    </row>
    <row r="60" spans="1:26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31"/>
      <c r="L60" s="151"/>
      <c r="M60" s="42">
        <f t="shared" si="18"/>
        <v>0</v>
      </c>
      <c r="N60" s="142"/>
      <c r="O60" s="42"/>
      <c r="P60" s="42">
        <f t="shared" si="19"/>
        <v>0</v>
      </c>
      <c r="Q60" s="142"/>
      <c r="R60" s="42"/>
      <c r="S60" s="42">
        <f t="shared" si="20"/>
        <v>0</v>
      </c>
      <c r="T60" s="142"/>
      <c r="U60" s="42"/>
      <c r="V60" s="42">
        <f t="shared" si="16"/>
        <v>0</v>
      </c>
      <c r="W60" s="142"/>
      <c r="X60" s="42"/>
      <c r="Y60" s="42">
        <f t="shared" si="17"/>
        <v>0</v>
      </c>
      <c r="Z60" s="5"/>
    </row>
    <row r="61" spans="1:27" ht="15.75">
      <c r="A61" s="21"/>
      <c r="B61" s="21"/>
      <c r="C61" s="22" t="s">
        <v>40</v>
      </c>
      <c r="D61" s="10"/>
      <c r="E61" s="31"/>
      <c r="F61" s="31"/>
      <c r="J61" s="42">
        <v>0</v>
      </c>
      <c r="K61" s="131"/>
      <c r="L61" s="151"/>
      <c r="M61" s="42">
        <v>0</v>
      </c>
      <c r="N61" s="199"/>
      <c r="O61" s="122"/>
      <c r="P61" s="42">
        <v>0</v>
      </c>
      <c r="Q61" s="141"/>
      <c r="R61" s="122"/>
      <c r="S61" s="42">
        <v>0</v>
      </c>
      <c r="T61" s="141"/>
      <c r="U61" s="122"/>
      <c r="V61" s="42">
        <v>0</v>
      </c>
      <c r="W61" s="141"/>
      <c r="X61" s="122"/>
      <c r="Y61" s="42">
        <f t="shared" si="17"/>
        <v>0</v>
      </c>
      <c r="Z61" s="5"/>
      <c r="AA61" s="76"/>
    </row>
    <row r="62" spans="1:27" ht="15.75">
      <c r="A62" s="21"/>
      <c r="B62" s="21"/>
      <c r="C62" s="63" t="s">
        <v>41</v>
      </c>
      <c r="D62" s="10"/>
      <c r="E62" s="31"/>
      <c r="F62" s="31"/>
      <c r="J62" s="42">
        <v>0</v>
      </c>
      <c r="K62" s="198"/>
      <c r="L62" s="151"/>
      <c r="M62" s="42">
        <v>0</v>
      </c>
      <c r="N62" s="199"/>
      <c r="O62" s="122"/>
      <c r="P62" s="42">
        <v>0</v>
      </c>
      <c r="Q62" s="199"/>
      <c r="R62" s="122"/>
      <c r="S62" s="42">
        <v>0</v>
      </c>
      <c r="T62" s="199"/>
      <c r="U62" s="122"/>
      <c r="V62" s="42">
        <v>0</v>
      </c>
      <c r="W62" s="199"/>
      <c r="X62" s="122"/>
      <c r="Y62" s="42">
        <f t="shared" si="17"/>
        <v>0</v>
      </c>
      <c r="Z62" s="5"/>
      <c r="AA62" s="76"/>
    </row>
    <row r="63" spans="1:27" ht="15">
      <c r="A63" s="21"/>
      <c r="B63" s="21"/>
      <c r="C63" s="63" t="s">
        <v>94</v>
      </c>
      <c r="D63" s="10"/>
      <c r="E63" s="31"/>
      <c r="F63" s="31"/>
      <c r="J63" s="42">
        <v>0</v>
      </c>
      <c r="K63" s="198"/>
      <c r="L63" s="151"/>
      <c r="M63" s="42">
        <v>0</v>
      </c>
      <c r="N63" s="199"/>
      <c r="O63" s="122"/>
      <c r="P63" s="42">
        <v>0</v>
      </c>
      <c r="Q63" s="199"/>
      <c r="R63" s="122"/>
      <c r="S63" s="42">
        <v>0</v>
      </c>
      <c r="T63" s="199"/>
      <c r="U63" s="122"/>
      <c r="V63" s="42">
        <v>0</v>
      </c>
      <c r="W63" s="199"/>
      <c r="X63" s="122"/>
      <c r="Y63" s="42">
        <f t="shared" si="17"/>
        <v>0</v>
      </c>
      <c r="Z63" s="5"/>
      <c r="AA63" s="76"/>
    </row>
    <row r="64" spans="1:27" ht="15">
      <c r="A64" s="21"/>
      <c r="B64" s="21"/>
      <c r="C64" s="63" t="s">
        <v>95</v>
      </c>
      <c r="D64" s="10"/>
      <c r="E64" s="31"/>
      <c r="F64" s="31"/>
      <c r="J64" s="42">
        <v>0</v>
      </c>
      <c r="K64" s="198"/>
      <c r="L64" s="151"/>
      <c r="M64" s="42">
        <v>0</v>
      </c>
      <c r="N64" s="199"/>
      <c r="O64" s="122"/>
      <c r="P64" s="42">
        <v>0</v>
      </c>
      <c r="Q64" s="199"/>
      <c r="R64" s="122"/>
      <c r="S64" s="42">
        <v>0</v>
      </c>
      <c r="T64" s="141"/>
      <c r="U64" s="122"/>
      <c r="V64" s="42">
        <v>0</v>
      </c>
      <c r="W64" s="199"/>
      <c r="X64" s="122"/>
      <c r="Y64" s="42">
        <f t="shared" si="17"/>
        <v>0</v>
      </c>
      <c r="Z64" s="5"/>
      <c r="AA64" s="76"/>
    </row>
    <row r="65" spans="1:27" ht="15">
      <c r="A65" s="21"/>
      <c r="D65" s="28"/>
      <c r="E65" s="28"/>
      <c r="F65" s="28"/>
      <c r="G65" s="28"/>
      <c r="H65" s="28"/>
      <c r="I65" s="28"/>
      <c r="J65" s="51">
        <f>SUM(J54:J64)</f>
        <v>0</v>
      </c>
      <c r="K65" s="134"/>
      <c r="L65" s="154"/>
      <c r="M65" s="43">
        <f>SUM(M54:M64)</f>
        <v>0</v>
      </c>
      <c r="N65" s="134"/>
      <c r="O65" s="44"/>
      <c r="P65" s="43">
        <f>SUM(P54:P64)</f>
        <v>0</v>
      </c>
      <c r="Q65" s="134"/>
      <c r="R65" s="44"/>
      <c r="S65" s="43">
        <f>SUM(S54:S64)</f>
        <v>0</v>
      </c>
      <c r="T65" s="134"/>
      <c r="U65" s="44"/>
      <c r="V65" s="43">
        <f>SUM(V54:V64)</f>
        <v>0</v>
      </c>
      <c r="W65" s="134"/>
      <c r="X65" s="44"/>
      <c r="Y65" s="43">
        <f t="shared" si="17"/>
        <v>0</v>
      </c>
      <c r="Z65" s="34"/>
      <c r="AA65" s="76"/>
    </row>
    <row r="66" spans="1:26" ht="7.5" customHeight="1">
      <c r="A66" s="40" t="s">
        <v>42</v>
      </c>
      <c r="B66" s="21"/>
      <c r="C66" s="26"/>
      <c r="D66" s="28"/>
      <c r="E66" s="28"/>
      <c r="F66" s="28"/>
      <c r="G66" s="26"/>
      <c r="H66" s="26"/>
      <c r="I66" s="26"/>
      <c r="J66" s="52"/>
      <c r="K66" s="130"/>
      <c r="L66" s="150"/>
      <c r="M66" s="46"/>
      <c r="N66" s="130"/>
      <c r="O66" s="46"/>
      <c r="P66" s="46"/>
      <c r="Q66" s="130"/>
      <c r="R66" s="46"/>
      <c r="S66" s="46"/>
      <c r="T66" s="130"/>
      <c r="U66" s="46"/>
      <c r="V66" s="46"/>
      <c r="W66" s="130"/>
      <c r="X66" s="46"/>
      <c r="Y66" s="46" t="s">
        <v>1</v>
      </c>
      <c r="Z66" s="6"/>
    </row>
    <row r="67" spans="1:26" ht="16.5">
      <c r="A67" s="21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35"/>
      <c r="L67" s="155"/>
      <c r="M67" s="65">
        <f>ROUND(+M65+M51+M46+M41,0)</f>
        <v>0</v>
      </c>
      <c r="N67" s="135"/>
      <c r="O67" s="65"/>
      <c r="P67" s="65">
        <f>ROUND(+P65+P51+P46+P41,0)</f>
        <v>0</v>
      </c>
      <c r="Q67" s="135"/>
      <c r="R67" s="65"/>
      <c r="S67" s="65">
        <f>ROUND(+S65+S51+S46+S41,0)</f>
        <v>0</v>
      </c>
      <c r="T67" s="135"/>
      <c r="U67" s="65"/>
      <c r="V67" s="65">
        <f>ROUND(+V65+V51+V46+V41,0)</f>
        <v>0</v>
      </c>
      <c r="W67" s="135"/>
      <c r="X67" s="65"/>
      <c r="Y67" s="65">
        <f>SUM(J67:V67)</f>
        <v>0</v>
      </c>
      <c r="Z67" s="34"/>
    </row>
    <row r="68" spans="1:25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35"/>
      <c r="L68" s="155"/>
      <c r="M68" s="65"/>
      <c r="N68" s="143"/>
      <c r="O68" s="170"/>
      <c r="P68" s="65"/>
      <c r="Q68" s="143"/>
      <c r="R68" s="170"/>
      <c r="S68" s="65"/>
      <c r="T68" s="143"/>
      <c r="U68" s="170"/>
      <c r="V68" s="65"/>
      <c r="W68" s="143"/>
      <c r="X68" s="170"/>
      <c r="Y68" s="65"/>
    </row>
    <row r="69" spans="1:27" ht="15">
      <c r="A69" s="28"/>
      <c r="B69" s="28"/>
      <c r="C69" s="28"/>
      <c r="D69" s="21"/>
      <c r="G69" s="39"/>
      <c r="H69" s="86" t="s">
        <v>117</v>
      </c>
      <c r="I69" s="39"/>
      <c r="J69" s="74">
        <f>(IF((J61)&gt;25000,(25000),J61)+((IF((J62)&gt;25000,(25000),J62))+((IF((J63)&gt;25000,(25000),J63))+((IF((J64)&gt;25000,(25000),J64))+SUM(J67-J46-J58-J61-J62-J63-J64)))))</f>
        <v>0</v>
      </c>
      <c r="K69" s="136"/>
      <c r="L69" s="156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64)</f>
        <v>0</v>
      </c>
      <c r="N69" s="136"/>
      <c r="O69" s="171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64)</f>
        <v>0</v>
      </c>
      <c r="Q69" s="136"/>
      <c r="R69" s="171"/>
      <c r="S69" s="74">
        <f>IF(J61&gt;=(25000),0,(((IF((J61+M61)&gt;=(25000),0,((IF((J61+M61+P61)&gt;=(25000),0,(IF((J61+M61+P61+S61)&lt;=(25000),S61,(25000-SUM(J61+M61+P61))))))))))))+IF(J62&gt;=(25000),0,(((IF((J62+M62)&gt;=(25000),0,((IF((J62+M62+P62)&gt;=(25000),0,(IF((J62+M62+P62+S62)&lt;=(25000),S62,(25000-SUM(J62+M62+P62))))))))))))+IF(J63&gt;=(25000),0,(((IF((J63+M63)&gt;=(25000),0,((IF((J63+M63+P63)&gt;=(25000),0,(IF((J63+M63+P63+S63)&lt;=(25000),S63,(25000-SUM(J63+M63+P63))))))))))))+IF(J64&gt;=(25000),0,(((IF((J64+M64)&gt;=(25000),0,((IF((J64+M64+P64)&gt;=(25000),0,(IF((J64+M64+P64+S64)&lt;=(25000),S64,(25000-SUM(J64+M64+P64))))))))))))+SUM(S67-S46-S58-S61-S62-S63-S64)</f>
        <v>0</v>
      </c>
      <c r="T69" s="136"/>
      <c r="U69" s="171"/>
      <c r="V69" s="74">
        <f>IF(J61&gt;=(25000),0,((((IF((J61+M61)&gt;=(25000),0,(((IF((J61+M61+P61)&gt;=(25000),0,((IF((J61+M61+P61+S61)&gt;=(25000),0,(IF((J61+M61+P61+S61+V61)&lt;=(25000),V61,(25000-SUM(J61+M61+P61+S61)))))))))))))))))+IF(J62&gt;=(25000),0,((((IF((J62+M62)&gt;=(25000),0,(((IF((J62+M62+P62)&gt;=(25000),0,((IF((J62+M62+P62+S62)&gt;=(25000),0,(IF((J62+M62+P62+S62+V62)&lt;=(25000),V62,(25000-SUM(J62+M62+P62+S62)))))))))))))))))+IF(J63&gt;=(25000),0,((((IF((J63+M63)&gt;=(25000),0,(((IF((J63+M63+P63)&gt;=(25000),0,((IF((J63+M63+P63+S63)&gt;=(25000),0,(IF((J63+M63+P63+S63+V63)&lt;=(25000),V63,(25000-SUM(J63+M63+P63+S63)))))))))))))))))+IF(J64&gt;=(25000),0,((((IF((J64+M64)&gt;=(25000),0,(((IF((J64+M64+P64)&gt;=(25000),0,((IF((J64+M64+P64+S64)&gt;=(25000),0,(IF((J64+M64+P64+S64+V64)&lt;=(25000),V64,(25000-SUM(J64+M64+P64+S64)))))))))))))))))+SUM(V67-V46-V58-V61-V62-V63-V64)</f>
        <v>0</v>
      </c>
      <c r="W69" s="136"/>
      <c r="X69" s="171"/>
      <c r="Y69" s="74">
        <f>SUM(J69:V69)</f>
        <v>0</v>
      </c>
      <c r="AA69" s="76"/>
    </row>
    <row r="70" spans="1:28" ht="15">
      <c r="A70" s="28"/>
      <c r="B70" s="1"/>
      <c r="C70" s="1"/>
      <c r="J70" s="42"/>
      <c r="K70" s="137"/>
      <c r="L70" s="157"/>
      <c r="M70" s="50"/>
      <c r="N70" s="137"/>
      <c r="O70" s="56"/>
      <c r="P70" s="50"/>
      <c r="Q70" s="137"/>
      <c r="R70" s="56"/>
      <c r="S70" s="50"/>
      <c r="T70" s="137"/>
      <c r="U70" s="56"/>
      <c r="V70" s="50"/>
      <c r="W70" s="137"/>
      <c r="X70" s="56"/>
      <c r="Y70" s="50"/>
      <c r="Z70" s="5"/>
      <c r="AB70" s="75"/>
    </row>
    <row r="71" spans="1:26" ht="15">
      <c r="A71" s="33" t="s">
        <v>116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0.6175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0.62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0.62</v>
      </c>
      <c r="G71" s="7">
        <f>IF(AND(($E$82)="R",($E$84)="C"),('RATES-Non Fed'!K46),IF(AND(($E$82)="R",($E$84)="O"),('RATES-Non Fed'!K51),IF(AND(($E$82)="I",($E$84)="C"),('RATES-Non Fed'!K47),IF(AND(($E$82)="I",($E$84)="O"),('RATES-Non Fed'!K52),IF(AND(($E$82)="P",($E$84)="C"),('RATES-Non Fed'!K48),IF(AND(($E$82)="P",($E$84)="O"),('RATES-Non Fed'!K53),($E$83)))))))</f>
        <v>0.62</v>
      </c>
      <c r="H71" s="7">
        <f>IF(AND(($E$82)="R",($E$84)="C"),('RATES-Non Fed'!M46),IF(AND(($E$82)="R",($E$84)="O"),('RATES-Non Fed'!M51),IF(AND(($E$82)="I",($E$84)="C"),('RATES-Non Fed'!M47),IF(AND(($E$82)="I",($E$84)="O"),('RATES-Non Fed'!M52),IF(AND(($E$82)="P",($E$84)="C"),('RATES-Non Fed'!M48),IF(AND(($E$82)="P",($E$84)="O"),('RATES-Non Fed'!M53),($E$83)))))))</f>
        <v>0.62</v>
      </c>
      <c r="J71" s="50">
        <f>ROUND(+D71*(J67-J46-J61-J62-J63-J64-J58-J59),0)</f>
        <v>0</v>
      </c>
      <c r="K71" s="131"/>
      <c r="L71" s="151"/>
      <c r="M71" s="50">
        <f>ROUND(+E71*(M67-M46-M61-M62-M63-M64-M58-M59),0)</f>
        <v>0</v>
      </c>
      <c r="N71" s="131"/>
      <c r="O71" s="50"/>
      <c r="P71" s="50">
        <f>ROUND(+F71*(P67-P46-P61-P62-P63-P64-P58-P59),0)</f>
        <v>0</v>
      </c>
      <c r="Q71" s="131"/>
      <c r="R71" s="50"/>
      <c r="S71" s="50">
        <f>ROUND(+G71*(S67-S46-S61-S62-S63-S64-S58-S59),0)</f>
        <v>0</v>
      </c>
      <c r="T71" s="131"/>
      <c r="U71" s="50"/>
      <c r="V71" s="50">
        <f>ROUND(+H71*(V67-V46-V61-V62-V63-V64-V58-V59),0)</f>
        <v>0</v>
      </c>
      <c r="W71" s="131"/>
      <c r="X71" s="50"/>
      <c r="Y71" s="50">
        <f aca="true" t="shared" si="21" ref="Y71:Y76">SUM(J71:V71)</f>
        <v>0</v>
      </c>
      <c r="Z71" s="5"/>
    </row>
    <row r="72" spans="1:26" ht="15">
      <c r="A72" s="13" t="s">
        <v>119</v>
      </c>
      <c r="D72" s="7">
        <f aca="true" t="shared" si="22" ref="D72:H74">+D71</f>
        <v>0.6175</v>
      </c>
      <c r="E72" s="7">
        <f t="shared" si="22"/>
        <v>0.62</v>
      </c>
      <c r="F72" s="7">
        <f t="shared" si="22"/>
        <v>0.62</v>
      </c>
      <c r="G72" s="7">
        <f t="shared" si="22"/>
        <v>0.62</v>
      </c>
      <c r="H72" s="7">
        <f t="shared" si="22"/>
        <v>0.62</v>
      </c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31"/>
      <c r="O72" s="50"/>
      <c r="P72" s="50">
        <f>IF(J61&gt;=(25000),0,(((IF((J61+M61)&gt;=(25000),0,((IF((J61+M61+P61)&lt;=(25000),P61,(25000-SUM(J61+M61)))))))))*F72)</f>
        <v>0</v>
      </c>
      <c r="Q72" s="131"/>
      <c r="R72" s="50"/>
      <c r="S72" s="50">
        <f>IF(J61&gt;=(25000),0,(((IF((J61+M61)&gt;=(25000),0,((IF((J61+M61+P61)&gt;=(25000),0,(IF((J61+M61+P61+S61)&lt;=(25000),S61,(25000-SUM(J61+M61+P61)))))))))))*G71)</f>
        <v>0</v>
      </c>
      <c r="T72" s="131"/>
      <c r="U72" s="50"/>
      <c r="V72" s="50">
        <f>IF(M61&gt;=(25000),0,(((IF((M61+P61)&gt;=(25000),0,((IF((M61+P61+S61)&gt;=(25000),0,(IF((M61+P61+S61+V61)&lt;=(25000),V61,(25000-SUM(M61+P61+S61)))))))))))*J72)</f>
        <v>0</v>
      </c>
      <c r="W72" s="131"/>
      <c r="X72" s="50"/>
      <c r="Y72" s="50">
        <f t="shared" si="21"/>
        <v>0</v>
      </c>
      <c r="Z72" s="5"/>
    </row>
    <row r="73" spans="1:26" ht="15">
      <c r="A73" s="13" t="s">
        <v>44</v>
      </c>
      <c r="D73" s="7">
        <f t="shared" si="22"/>
        <v>0.6175</v>
      </c>
      <c r="E73" s="7">
        <f t="shared" si="22"/>
        <v>0.62</v>
      </c>
      <c r="F73" s="7">
        <f t="shared" si="22"/>
        <v>0.62</v>
      </c>
      <c r="G73" s="7">
        <f t="shared" si="22"/>
        <v>0.62</v>
      </c>
      <c r="H73" s="7">
        <f t="shared" si="22"/>
        <v>0.62</v>
      </c>
      <c r="J73" s="50">
        <f>(IF((J62)&gt;25000,(25000),J62)*D73)</f>
        <v>0</v>
      </c>
      <c r="K73" s="131"/>
      <c r="L73" s="151"/>
      <c r="M73" s="50">
        <f>IF(J62&gt;=(25000),0,((IF((J62+M62)&lt;=(25000),M62,(25000-J62))))*E73)</f>
        <v>0</v>
      </c>
      <c r="N73" s="131"/>
      <c r="O73" s="50"/>
      <c r="P73" s="50">
        <f>IF(J62&gt;=(25000),0,(((IF((J62+M62)&gt;=(25000),0,((IF((J62+M62+P62)&lt;=(25000),P62,(25000-SUM(J62+M62)))))))))*F73)</f>
        <v>0</v>
      </c>
      <c r="Q73" s="131"/>
      <c r="R73" s="50"/>
      <c r="S73" s="50">
        <f>IF(J62&gt;=(25000),0,(((IF((J62+M62)&gt;=(25000),0,((IF((J62+M62+P62)&gt;=(25000),0,(IF((J62+M62+P62+S62)&lt;=(25000),S62,(25000-SUM(J62+M62+P62)))))))))))*G72)</f>
        <v>0</v>
      </c>
      <c r="T73" s="131"/>
      <c r="U73" s="50"/>
      <c r="V73" s="50">
        <f>IF(M62&gt;=(25000),0,(((IF((M62+P62)&gt;=(25000),0,((IF((M62+P62+S62)&gt;=(25000),0,(IF((M62+P62+S62+V62)&lt;=(25000),V62,(25000-SUM(M62+P62+S62)))))))))))*J73)</f>
        <v>0</v>
      </c>
      <c r="W73" s="131"/>
      <c r="X73" s="50"/>
      <c r="Y73" s="50">
        <f t="shared" si="21"/>
        <v>0</v>
      </c>
      <c r="Z73" s="5"/>
    </row>
    <row r="74" spans="1:26" ht="15">
      <c r="A74" s="13" t="s">
        <v>45</v>
      </c>
      <c r="D74" s="7">
        <f t="shared" si="22"/>
        <v>0.6175</v>
      </c>
      <c r="E74" s="7">
        <f t="shared" si="22"/>
        <v>0.62</v>
      </c>
      <c r="F74" s="7">
        <f t="shared" si="22"/>
        <v>0.62</v>
      </c>
      <c r="G74" s="7">
        <f t="shared" si="22"/>
        <v>0.62</v>
      </c>
      <c r="H74" s="7">
        <f t="shared" si="22"/>
        <v>0.62</v>
      </c>
      <c r="J74" s="50">
        <f>(IF((J63)&gt;25000,(25000),J63)*D74)</f>
        <v>0</v>
      </c>
      <c r="K74" s="131"/>
      <c r="L74" s="151"/>
      <c r="M74" s="50">
        <f>IF(J63&gt;=(25000),0,((IF((J63+M63)&lt;=(25000),M63,(25000-J63))))*E74)</f>
        <v>0</v>
      </c>
      <c r="N74" s="131"/>
      <c r="O74" s="50"/>
      <c r="P74" s="50">
        <f>IF(J63&gt;=(25000),0,(((IF((J63+M63)&gt;=(25000),0,((IF((J63+M63+P63)&lt;=(25000),P63,(25000-SUM(J63+M63)))))))))*F74)</f>
        <v>0</v>
      </c>
      <c r="Q74" s="131"/>
      <c r="R74" s="50"/>
      <c r="S74" s="50">
        <f>IF(J63&gt;=(25000),0,(((IF((J63+M63)&gt;=(25000),0,((IF((J63+M63+P63)&gt;=(25000),0,(IF((J63+M63+P63+S63)&lt;=(25000),S63,(25000-SUM(J63+M63+P63)))))))))))*G73)</f>
        <v>0</v>
      </c>
      <c r="T74" s="131"/>
      <c r="U74" s="50"/>
      <c r="V74" s="50">
        <f>IF(M63&gt;=(25000),0,(((IF((M63+P63)&gt;=(25000),0,((IF((M63+P63+S63)&gt;=(25000),0,(IF((M63+P63+S63+V63)&lt;=(25000),V63,(25000-SUM(M63+P63+S63)))))))))))*J74)</f>
        <v>0</v>
      </c>
      <c r="W74" s="131"/>
      <c r="X74" s="50"/>
      <c r="Y74" s="50">
        <f t="shared" si="21"/>
        <v>0</v>
      </c>
      <c r="Z74" s="5"/>
    </row>
    <row r="75" spans="1:26" ht="15">
      <c r="A75" s="13" t="s">
        <v>92</v>
      </c>
      <c r="B75" s="1"/>
      <c r="C75" s="1"/>
      <c r="D75" s="7">
        <f>+D72</f>
        <v>0.6175</v>
      </c>
      <c r="E75" s="7">
        <f>+E72</f>
        <v>0.62</v>
      </c>
      <c r="F75" s="7">
        <f>+F72</f>
        <v>0.62</v>
      </c>
      <c r="G75" s="7">
        <f>+G72</f>
        <v>0.62</v>
      </c>
      <c r="H75" s="7">
        <f>+H72</f>
        <v>0.62</v>
      </c>
      <c r="J75" s="50">
        <f>(IF((J64)&gt;25000,(25000),J64)*D75)</f>
        <v>0</v>
      </c>
      <c r="K75" s="131"/>
      <c r="L75" s="151"/>
      <c r="M75" s="50">
        <f>IF(J64&gt;=(25000),0,((IF((J64+M64)&lt;=(25000),M64,(25000-J64))))*E75)</f>
        <v>0</v>
      </c>
      <c r="N75" s="131"/>
      <c r="O75" s="50"/>
      <c r="P75" s="50">
        <f>IF(J64&gt;=(25000),0,(((IF((J64+M64)&gt;=(25000),0,((IF((J64+M64+P64)&lt;=(25000),P64,(25000-SUM(J64+M64)))))))))*F75)</f>
        <v>0</v>
      </c>
      <c r="Q75" s="131"/>
      <c r="R75" s="50"/>
      <c r="S75" s="50">
        <f>IF(J64&gt;=(25000),0,(((IF((J64+M64)&gt;=(25000),0,((IF((J64+M64+P64)&gt;=(25000),0,(IF((J64+M64+P64+S64)&lt;=(25000),S64,(25000-SUM(J64+M64+P64)))))))))))*G74)</f>
        <v>0</v>
      </c>
      <c r="T75" s="131"/>
      <c r="U75" s="50"/>
      <c r="V75" s="50">
        <f>IF(M64&gt;=(25000),0,(((IF((M64+P64)&gt;=(25000),0,((IF((M64+P64+S64)&gt;=(25000),0,(IF((M64+P64+S64+V64)&lt;=(25000),V64,(25000-SUM(M64+P64+S64)))))))))))*J75)</f>
        <v>0</v>
      </c>
      <c r="W75" s="131"/>
      <c r="X75" s="50"/>
      <c r="Y75" s="50">
        <f t="shared" si="21"/>
        <v>0</v>
      </c>
      <c r="Z75" s="5"/>
    </row>
    <row r="76" spans="1:26" ht="15">
      <c r="A76" s="13" t="s">
        <v>93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34"/>
      <c r="L76" s="154"/>
      <c r="M76" s="53">
        <f>SUM(M71:M75)</f>
        <v>0</v>
      </c>
      <c r="N76" s="134"/>
      <c r="O76" s="44"/>
      <c r="P76" s="53">
        <f>SUM(P71:P75)</f>
        <v>0</v>
      </c>
      <c r="Q76" s="134"/>
      <c r="R76" s="44"/>
      <c r="S76" s="53">
        <f>SUM(S71:S75)</f>
        <v>0</v>
      </c>
      <c r="T76" s="134"/>
      <c r="U76" s="44"/>
      <c r="V76" s="53">
        <f>SUM(V71:V75)</f>
        <v>0</v>
      </c>
      <c r="W76" s="134"/>
      <c r="X76" s="44"/>
      <c r="Y76" s="53">
        <f t="shared" si="21"/>
        <v>0</v>
      </c>
      <c r="Z76" s="5"/>
    </row>
    <row r="77" spans="1:26" ht="6.75" customHeight="1">
      <c r="A77" s="40" t="s">
        <v>118</v>
      </c>
      <c r="B77" s="1"/>
      <c r="C77" s="24"/>
      <c r="D77" s="35"/>
      <c r="E77" s="7"/>
      <c r="F77" s="7"/>
      <c r="G77" s="7"/>
      <c r="H77" s="7"/>
      <c r="I77" s="7"/>
      <c r="J77" s="61"/>
      <c r="K77" s="134"/>
      <c r="L77" s="154"/>
      <c r="M77" s="62"/>
      <c r="N77" s="134"/>
      <c r="O77" s="44"/>
      <c r="P77" s="62"/>
      <c r="Q77" s="134"/>
      <c r="R77" s="44"/>
      <c r="S77" s="62"/>
      <c r="T77" s="134"/>
      <c r="U77" s="44"/>
      <c r="V77" s="62"/>
      <c r="W77" s="134"/>
      <c r="X77" s="44"/>
      <c r="Y77" s="62"/>
      <c r="Z77" s="5"/>
    </row>
    <row r="78" spans="1:26" ht="18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35"/>
      <c r="L78" s="155"/>
      <c r="M78" s="72">
        <f>M76+M67</f>
        <v>0</v>
      </c>
      <c r="N78" s="135"/>
      <c r="O78" s="65"/>
      <c r="P78" s="72">
        <f>P76+P67</f>
        <v>0</v>
      </c>
      <c r="Q78" s="135"/>
      <c r="R78" s="65"/>
      <c r="S78" s="72">
        <f>S76+S67</f>
        <v>0</v>
      </c>
      <c r="T78" s="135"/>
      <c r="U78" s="65"/>
      <c r="V78" s="72">
        <f>V76+V67</f>
        <v>0</v>
      </c>
      <c r="W78" s="135"/>
      <c r="X78" s="65"/>
      <c r="Y78" s="72">
        <f>SUM(J78:V78)</f>
        <v>0</v>
      </c>
      <c r="Z78" s="5"/>
    </row>
    <row r="79" spans="1:26" ht="8.25" customHeight="1" thickTop="1">
      <c r="A79" s="40"/>
      <c r="B79" s="1"/>
      <c r="C79" s="35"/>
      <c r="D79" s="7"/>
      <c r="E79" s="7"/>
      <c r="F79" s="7"/>
      <c r="G79" s="7"/>
      <c r="H79" s="7"/>
      <c r="I79" s="7"/>
      <c r="J79" s="50"/>
      <c r="K79" s="131"/>
      <c r="L79" s="151"/>
      <c r="M79" s="50"/>
      <c r="N79" s="131"/>
      <c r="O79" s="50"/>
      <c r="P79" s="50"/>
      <c r="Q79" s="131"/>
      <c r="R79" s="50"/>
      <c r="S79" s="50"/>
      <c r="T79" s="131"/>
      <c r="U79" s="50"/>
      <c r="V79" s="50"/>
      <c r="W79" s="131"/>
      <c r="X79" s="50"/>
      <c r="Y79" s="50" t="s">
        <v>1</v>
      </c>
      <c r="Z79" s="5"/>
    </row>
    <row r="80" spans="1:26" ht="9" customHeight="1">
      <c r="A80" s="28"/>
      <c r="B80" s="1"/>
      <c r="C80" s="1"/>
      <c r="D80" s="1"/>
      <c r="E80" s="1"/>
      <c r="F80" s="1"/>
      <c r="G80" s="1"/>
      <c r="H80" s="1"/>
      <c r="I80" s="1"/>
      <c r="J80" s="49"/>
      <c r="K80" s="138"/>
      <c r="L80" s="158"/>
      <c r="M80" s="58"/>
      <c r="N80" s="138"/>
      <c r="O80" s="57"/>
      <c r="P80" s="58"/>
      <c r="Q80" s="138"/>
      <c r="R80" s="57"/>
      <c r="S80" s="58"/>
      <c r="T80" s="138"/>
      <c r="U80" s="57"/>
      <c r="V80" s="58"/>
      <c r="W80" s="138"/>
      <c r="X80" s="57"/>
      <c r="Y80" s="58"/>
      <c r="Z80" s="1"/>
    </row>
    <row r="81" spans="1:3" ht="15">
      <c r="A81" s="1"/>
      <c r="C81" s="36" t="s">
        <v>120</v>
      </c>
    </row>
    <row r="82" spans="3:24" ht="15">
      <c r="C82" s="14" t="s">
        <v>47</v>
      </c>
      <c r="E82" s="15" t="s">
        <v>48</v>
      </c>
      <c r="G82" s="14" t="s">
        <v>49</v>
      </c>
      <c r="W82" s="144"/>
      <c r="X82" s="172"/>
    </row>
    <row r="83" spans="3:6" ht="15">
      <c r="C83" s="14" t="s">
        <v>145</v>
      </c>
      <c r="E83" s="9">
        <v>0.1</v>
      </c>
      <c r="F83" s="9"/>
    </row>
    <row r="84" spans="3:7" ht="15">
      <c r="C84" s="14" t="s">
        <v>50</v>
      </c>
      <c r="E84" s="146" t="s">
        <v>51</v>
      </c>
      <c r="G84" s="14" t="s">
        <v>52</v>
      </c>
    </row>
    <row r="87" spans="4:22" ht="15">
      <c r="D87" s="190" t="s">
        <v>166</v>
      </c>
      <c r="H87" s="188">
        <f>+'RATES-Non Fed'!$E$31</f>
        <v>0.605</v>
      </c>
      <c r="J87" s="187">
        <f>J76/12*'RATES-Non Fed'!$C$46</f>
        <v>0</v>
      </c>
      <c r="L87" s="188">
        <f>+'RATES-Non Fed'!$G$31</f>
        <v>0.62</v>
      </c>
      <c r="M87" s="187">
        <f>M76/12*'RATES-Non Fed'!$C$46</f>
        <v>0</v>
      </c>
      <c r="O87" s="189">
        <f>+'RATES-Non Fed'!$I$31</f>
        <v>0.62</v>
      </c>
      <c r="P87" s="187">
        <f>P76/12*'RATES-Non Fed'!$C$46</f>
        <v>0</v>
      </c>
      <c r="R87" s="189">
        <f>+'RATES-Non Fed'!$K$31</f>
        <v>0.62</v>
      </c>
      <c r="S87" s="187">
        <f>S76/12*'RATES-Non Fed'!$C$46</f>
        <v>0</v>
      </c>
      <c r="U87" s="189">
        <f>+'RATES-Non Fed'!$M$31</f>
        <v>0.62</v>
      </c>
      <c r="V87" s="187">
        <f>V76/12*'RATES-Non Fed'!$C$46</f>
        <v>0</v>
      </c>
    </row>
    <row r="88" spans="4:22" ht="15">
      <c r="D88" s="255" t="s">
        <v>167</v>
      </c>
      <c r="E88" s="267"/>
      <c r="F88" s="267"/>
      <c r="G88" s="267"/>
      <c r="H88" s="188">
        <f>+'RATES-Non Fed'!$G$31</f>
        <v>0.62</v>
      </c>
      <c r="J88" s="187">
        <f>J76/12*'RATES-Non Fed'!$D$46</f>
        <v>0</v>
      </c>
      <c r="L88" s="188">
        <f>+'RATES-Non Fed'!$I$31</f>
        <v>0.62</v>
      </c>
      <c r="M88" s="187">
        <f>M76/12*'RATES-Non Fed'!$D$46</f>
        <v>0</v>
      </c>
      <c r="O88" s="189">
        <f>+'RATES-Non Fed'!$K$31</f>
        <v>0.62</v>
      </c>
      <c r="P88" s="187">
        <f>P76/12*'RATES-Non Fed'!$D$46</f>
        <v>0</v>
      </c>
      <c r="R88" s="189">
        <f>+'RATES-Non Fed'!$M$31</f>
        <v>0.62</v>
      </c>
      <c r="S88" s="187">
        <f>S76/12*'RATES-Non Fed'!$D$46</f>
        <v>0</v>
      </c>
      <c r="U88" s="189">
        <f>+'RATES-Non Fed'!$O$31</f>
        <v>0.62</v>
      </c>
      <c r="V88" s="187">
        <f>V76/12*'RATES-Non Fed'!$D$46</f>
        <v>0</v>
      </c>
    </row>
    <row r="89" spans="4:22" ht="15">
      <c r="D89" s="267"/>
      <c r="E89" s="267"/>
      <c r="F89" s="267"/>
      <c r="G89" s="267"/>
      <c r="J89" s="187">
        <f>SUM(J87:J88)</f>
        <v>0</v>
      </c>
      <c r="M89" s="187">
        <f>SUM(M87:M88)</f>
        <v>0</v>
      </c>
      <c r="P89" s="187">
        <f>SUM(P87:P88)</f>
        <v>0</v>
      </c>
      <c r="S89" s="187">
        <f>SUM(S87:S88)</f>
        <v>0</v>
      </c>
      <c r="V89" s="187">
        <f>SUM(V87:V88)</f>
        <v>0</v>
      </c>
    </row>
    <row r="91" spans="24:26" ht="17.25">
      <c r="X91" s="254"/>
      <c r="Y91" s="254"/>
      <c r="Z91" s="254"/>
    </row>
  </sheetData>
  <sheetProtection/>
  <mergeCells count="8">
    <mergeCell ref="D88:G89"/>
    <mergeCell ref="X91:Z91"/>
    <mergeCell ref="K4:V5"/>
    <mergeCell ref="J8:L8"/>
    <mergeCell ref="M8:O8"/>
    <mergeCell ref="P8:R8"/>
    <mergeCell ref="S8:U8"/>
    <mergeCell ref="V8:X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landscape" scale="38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63"/>
  <sheetViews>
    <sheetView showGridLines="0" zoomScale="70" zoomScaleNormal="70" workbookViewId="0" topLeftCell="A4">
      <selection activeCell="K19" sqref="J19:K19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0390625" style="78" customWidth="1"/>
    <col min="4" max="4" width="4.875" style="78" customWidth="1"/>
    <col min="5" max="5" width="9.625" style="78" customWidth="1"/>
    <col min="6" max="6" width="2.625" style="78" customWidth="1"/>
    <col min="7" max="7" width="9.625" style="78" customWidth="1"/>
    <col min="8" max="8" width="2.625" style="78" customWidth="1"/>
    <col min="9" max="9" width="9.625" style="78" customWidth="1"/>
    <col min="10" max="10" width="2.625" style="78" customWidth="1"/>
    <col min="11" max="11" width="9.625" style="78" customWidth="1"/>
    <col min="12" max="12" width="2.625" style="78" customWidth="1"/>
    <col min="13" max="13" width="9.625" style="78" customWidth="1"/>
    <col min="14" max="14" width="2.625" style="78" customWidth="1"/>
    <col min="15" max="15" width="10.50390625" style="78" customWidth="1"/>
    <col min="16" max="16" width="2.625" style="78" customWidth="1"/>
    <col min="17" max="19" width="9.625" style="78" customWidth="1"/>
    <col min="20" max="21" width="9.625" style="78" hidden="1" customWidth="1"/>
    <col min="22" max="22" width="3.25390625" style="78" hidden="1" customWidth="1"/>
    <col min="23" max="24" width="9.625" style="78" hidden="1" customWidth="1"/>
    <col min="25" max="25" width="0.6171875" style="78" hidden="1" customWidth="1"/>
    <col min="26" max="26" width="8.50390625" style="78" hidden="1" customWidth="1"/>
    <col min="27" max="27" width="1.25" style="78" hidden="1" customWidth="1"/>
    <col min="28" max="28" width="0" style="78" hidden="1" customWidth="1"/>
    <col min="29" max="29" width="1.625" style="78" hidden="1" customWidth="1"/>
    <col min="30" max="30" width="0" style="78" hidden="1" customWidth="1"/>
    <col min="31" max="31" width="1.625" style="78" hidden="1" customWidth="1"/>
    <col min="32" max="32" width="0" style="78" hidden="1" customWidth="1"/>
    <col min="33" max="33" width="2.00390625" style="78" hidden="1" customWidth="1"/>
    <col min="34" max="34" width="0" style="78" hidden="1" customWidth="1"/>
    <col min="35" max="35" width="1.75390625" style="78" hidden="1" customWidth="1"/>
    <col min="36" max="36" width="0" style="78" hidden="1" customWidth="1"/>
    <col min="37" max="16384" width="9.625" style="78" customWidth="1"/>
  </cols>
  <sheetData>
    <row r="2" spans="2:19" ht="15">
      <c r="B2" s="219" t="s">
        <v>61</v>
      </c>
      <c r="C2" s="195"/>
      <c r="D2" s="195"/>
      <c r="E2" s="220">
        <v>44317</v>
      </c>
      <c r="F2" s="221"/>
      <c r="G2" s="220">
        <v>46142</v>
      </c>
      <c r="S2" s="195"/>
    </row>
    <row r="3" spans="2:7" ht="15">
      <c r="B3" s="219"/>
      <c r="C3" s="195"/>
      <c r="D3" s="195"/>
      <c r="E3" s="222"/>
      <c r="F3" s="79"/>
      <c r="G3" s="222"/>
    </row>
    <row r="4" spans="2:23" ht="17.25">
      <c r="B4" s="219"/>
      <c r="E4" s="223"/>
      <c r="S4" s="82"/>
      <c r="U4" s="224"/>
      <c r="W4" s="225"/>
    </row>
    <row r="5" spans="1:25" ht="15">
      <c r="A5" s="226"/>
      <c r="E5" s="196" t="s">
        <v>170</v>
      </c>
      <c r="G5" s="196" t="s">
        <v>171</v>
      </c>
      <c r="I5" s="195" t="s">
        <v>173</v>
      </c>
      <c r="K5" s="195" t="s">
        <v>176</v>
      </c>
      <c r="M5" s="196" t="s">
        <v>186</v>
      </c>
      <c r="O5" s="196" t="s">
        <v>189</v>
      </c>
      <c r="Q5" s="196" t="s">
        <v>191</v>
      </c>
      <c r="S5" s="82"/>
      <c r="U5" s="224"/>
      <c r="W5" s="195"/>
      <c r="X5" s="195"/>
      <c r="Y5" s="195"/>
    </row>
    <row r="6" spans="1:256" ht="15">
      <c r="A6" s="227"/>
      <c r="B6" s="228" t="s">
        <v>62</v>
      </c>
      <c r="C6" s="227"/>
      <c r="D6" s="227"/>
      <c r="E6" s="197" t="s">
        <v>172</v>
      </c>
      <c r="G6" s="197" t="s">
        <v>174</v>
      </c>
      <c r="I6" s="197" t="s">
        <v>175</v>
      </c>
      <c r="K6" s="208" t="s">
        <v>179</v>
      </c>
      <c r="M6" s="208" t="s">
        <v>187</v>
      </c>
      <c r="N6" s="197"/>
      <c r="O6" s="208" t="s">
        <v>190</v>
      </c>
      <c r="P6" s="197"/>
      <c r="Q6" s="208" t="s">
        <v>192</v>
      </c>
      <c r="R6" s="227"/>
      <c r="S6" s="82"/>
      <c r="U6" s="224"/>
      <c r="V6" s="227"/>
      <c r="W6" s="195"/>
      <c r="X6" s="194"/>
      <c r="Y6" s="195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</row>
    <row r="7" spans="2:25" ht="15">
      <c r="B7" s="80" t="s">
        <v>63</v>
      </c>
      <c r="E7" s="229">
        <v>0.326</v>
      </c>
      <c r="G7" s="229">
        <v>0.29100000000000004</v>
      </c>
      <c r="I7" s="229">
        <v>0.278</v>
      </c>
      <c r="K7" s="229">
        <v>0.299</v>
      </c>
      <c r="M7" s="229">
        <v>0.311</v>
      </c>
      <c r="O7" s="229">
        <v>0.314</v>
      </c>
      <c r="Q7" s="229">
        <v>0.318</v>
      </c>
      <c r="S7" s="82"/>
      <c r="U7" s="224"/>
      <c r="W7" s="195"/>
      <c r="X7" s="194"/>
      <c r="Y7" s="195"/>
    </row>
    <row r="8" spans="2:24" ht="15">
      <c r="B8" s="80" t="s">
        <v>177</v>
      </c>
      <c r="E8" s="229">
        <v>0.315</v>
      </c>
      <c r="G8" s="229">
        <v>0.312</v>
      </c>
      <c r="I8" s="229">
        <v>0.382</v>
      </c>
      <c r="K8" s="229">
        <v>0.395</v>
      </c>
      <c r="M8" s="229">
        <v>0.37100000000000005</v>
      </c>
      <c r="O8" s="229">
        <v>0.373</v>
      </c>
      <c r="Q8" s="229">
        <v>0.374</v>
      </c>
      <c r="S8" s="82"/>
      <c r="U8" s="224"/>
      <c r="W8" s="195"/>
      <c r="X8" s="194"/>
    </row>
    <row r="9" spans="2:25" ht="15">
      <c r="B9" s="80" t="s">
        <v>178</v>
      </c>
      <c r="E9" s="229">
        <v>0.354</v>
      </c>
      <c r="G9" s="229">
        <v>0.371</v>
      </c>
      <c r="I9" s="229">
        <v>0.454</v>
      </c>
      <c r="K9" s="229">
        <v>0.452</v>
      </c>
      <c r="M9" s="229">
        <v>0.439</v>
      </c>
      <c r="O9" s="229">
        <v>0.449</v>
      </c>
      <c r="Q9" s="229">
        <v>0.46</v>
      </c>
      <c r="S9" s="82"/>
      <c r="U9" s="224"/>
      <c r="W9" s="195"/>
      <c r="X9" s="194"/>
      <c r="Y9" s="195"/>
    </row>
    <row r="10" spans="2:24" ht="15">
      <c r="B10" s="80" t="s">
        <v>64</v>
      </c>
      <c r="E10" s="229">
        <v>0.361</v>
      </c>
      <c r="G10" s="229">
        <v>0.372</v>
      </c>
      <c r="I10" s="229">
        <v>0.34900000000000003</v>
      </c>
      <c r="K10" s="229">
        <v>0.36300000000000004</v>
      </c>
      <c r="M10" s="229">
        <v>0.40700000000000003</v>
      </c>
      <c r="O10" s="229">
        <v>0.40900000000000003</v>
      </c>
      <c r="Q10" s="229">
        <v>0.41000000000000003</v>
      </c>
      <c r="S10" s="82"/>
      <c r="U10" s="224"/>
      <c r="W10" s="195"/>
      <c r="X10" s="194"/>
    </row>
    <row r="11" spans="2:24" ht="15">
      <c r="B11" s="80" t="s">
        <v>65</v>
      </c>
      <c r="E11" s="229">
        <v>0.071</v>
      </c>
      <c r="G11" s="229">
        <v>0.072</v>
      </c>
      <c r="I11" s="229">
        <v>0.073</v>
      </c>
      <c r="K11" s="229">
        <v>0.076</v>
      </c>
      <c r="M11" s="229">
        <v>0.075</v>
      </c>
      <c r="O11" s="229">
        <v>0.075</v>
      </c>
      <c r="Q11" s="229">
        <v>0.075</v>
      </c>
      <c r="W11" s="195"/>
      <c r="X11" s="194"/>
    </row>
    <row r="12" spans="2:17" ht="15">
      <c r="B12" s="80" t="s">
        <v>86</v>
      </c>
      <c r="E12" s="229">
        <v>0.206</v>
      </c>
      <c r="G12" s="229">
        <v>0.193</v>
      </c>
      <c r="I12" s="229">
        <v>0.183</v>
      </c>
      <c r="K12" s="229">
        <v>0.184</v>
      </c>
      <c r="M12" s="229">
        <v>0.2</v>
      </c>
      <c r="O12" s="229">
        <v>0.201</v>
      </c>
      <c r="Q12" s="229">
        <v>0.201</v>
      </c>
    </row>
    <row r="13" spans="5:15" ht="15">
      <c r="E13" s="229"/>
      <c r="F13" s="230"/>
      <c r="G13" s="229"/>
      <c r="I13" s="229"/>
      <c r="J13" s="191" t="s">
        <v>169</v>
      </c>
      <c r="K13" s="229"/>
      <c r="M13" s="229"/>
      <c r="O13" s="229"/>
    </row>
    <row r="14" spans="2:36" ht="15">
      <c r="B14" s="228" t="s">
        <v>158</v>
      </c>
      <c r="E14" s="230"/>
      <c r="F14" s="230"/>
      <c r="G14" s="230"/>
      <c r="I14" s="230"/>
      <c r="K14" s="230"/>
      <c r="M14" s="230"/>
      <c r="O14" s="230"/>
      <c r="Q14" s="230"/>
      <c r="S14" s="231"/>
      <c r="T14" s="78">
        <f>VALUE(U14)+2000</f>
        <v>2021</v>
      </c>
      <c r="U14" s="231" t="str">
        <f>RIGHT(E5,2)</f>
        <v>21</v>
      </c>
      <c r="X14" s="270" t="s">
        <v>193</v>
      </c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</row>
    <row r="15" spans="2:36" ht="15">
      <c r="B15" s="80" t="s">
        <v>159</v>
      </c>
      <c r="E15" s="229">
        <v>0.605</v>
      </c>
      <c r="F15" s="229"/>
      <c r="G15" s="229">
        <v>0.62</v>
      </c>
      <c r="H15" s="229"/>
      <c r="I15" s="229">
        <v>0.62</v>
      </c>
      <c r="J15" s="229"/>
      <c r="K15" s="229">
        <v>0.62</v>
      </c>
      <c r="M15" s="229">
        <f>+K15</f>
        <v>0.62</v>
      </c>
      <c r="O15" s="229">
        <f>+M15</f>
        <v>0.62</v>
      </c>
      <c r="Q15" s="229">
        <f>+O15</f>
        <v>0.62</v>
      </c>
      <c r="S15" s="231"/>
      <c r="T15" s="78">
        <f aca="true" t="shared" si="0" ref="T15:T20">T14+1</f>
        <v>2022</v>
      </c>
      <c r="U15" s="231"/>
      <c r="X15" s="79">
        <f>IF(MONTH(E2)&gt;6,YEAR(E2)+1,YEAR(E2))</f>
        <v>2021</v>
      </c>
      <c r="Y15" s="79"/>
      <c r="Z15" s="79">
        <f>X15+1</f>
        <v>2022</v>
      </c>
      <c r="AA15" s="79"/>
      <c r="AB15" s="79">
        <f>Z15+1</f>
        <v>2023</v>
      </c>
      <c r="AC15" s="79"/>
      <c r="AD15" s="79">
        <f>AB15+1</f>
        <v>2024</v>
      </c>
      <c r="AE15" s="79"/>
      <c r="AF15" s="79">
        <f>AD15+1</f>
        <v>2025</v>
      </c>
      <c r="AG15" s="79"/>
      <c r="AH15" s="79">
        <f>AF15+1</f>
        <v>2026</v>
      </c>
      <c r="AI15" s="79"/>
      <c r="AJ15" s="79">
        <f>AH15+1</f>
        <v>2027</v>
      </c>
    </row>
    <row r="16" spans="2:36" ht="15">
      <c r="B16" s="80" t="s">
        <v>160</v>
      </c>
      <c r="E16" s="229">
        <v>0.57</v>
      </c>
      <c r="F16" s="229"/>
      <c r="G16" s="229">
        <v>0.57</v>
      </c>
      <c r="H16" s="229"/>
      <c r="I16" s="229">
        <v>0.57</v>
      </c>
      <c r="J16" s="229"/>
      <c r="K16" s="229">
        <v>0.57</v>
      </c>
      <c r="M16" s="229">
        <f>+K16</f>
        <v>0.57</v>
      </c>
      <c r="O16" s="229">
        <f>+M16</f>
        <v>0.57</v>
      </c>
      <c r="Q16" s="229">
        <f>+O16</f>
        <v>0.57</v>
      </c>
      <c r="S16" s="231"/>
      <c r="T16" s="78">
        <f t="shared" si="0"/>
        <v>2023</v>
      </c>
      <c r="U16" s="231"/>
      <c r="V16" s="82"/>
      <c r="X16" s="79" t="str">
        <f>"FY"&amp;RIGHT(TEXT(X15,"0"),2)</f>
        <v>FY21</v>
      </c>
      <c r="Y16" s="79"/>
      <c r="Z16" s="79" t="str">
        <f>"FY"&amp;RIGHT(TEXT(Z15,"0"),2)</f>
        <v>FY22</v>
      </c>
      <c r="AA16" s="79"/>
      <c r="AB16" s="79" t="str">
        <f>"FY"&amp;RIGHT(TEXT(AB15,"0"),2)</f>
        <v>FY23</v>
      </c>
      <c r="AC16" s="79"/>
      <c r="AD16" s="79" t="str">
        <f>"FY"&amp;RIGHT(TEXT(AD15,"0"),2)</f>
        <v>FY24</v>
      </c>
      <c r="AE16" s="79"/>
      <c r="AF16" s="79" t="str">
        <f>"FY"&amp;RIGHT(TEXT(AF15,"0"),2)</f>
        <v>FY25</v>
      </c>
      <c r="AG16" s="79"/>
      <c r="AH16" s="79" t="str">
        <f>"FY"&amp;RIGHT(TEXT(AH15,"0"),2)</f>
        <v>FY26</v>
      </c>
      <c r="AI16" s="79"/>
      <c r="AJ16" s="79" t="str">
        <f>"FY"&amp;RIGHT(TEXT(AJ15,"0"),2)</f>
        <v>FY27</v>
      </c>
    </row>
    <row r="17" spans="2:21" ht="15">
      <c r="B17" s="80" t="s">
        <v>161</v>
      </c>
      <c r="E17" s="229">
        <v>0.3</v>
      </c>
      <c r="F17" s="229"/>
      <c r="G17" s="229">
        <v>0.31</v>
      </c>
      <c r="H17" s="229"/>
      <c r="I17" s="229">
        <v>0.31</v>
      </c>
      <c r="J17" s="229"/>
      <c r="K17" s="229">
        <v>0.31</v>
      </c>
      <c r="M17" s="229">
        <f>+K17</f>
        <v>0.31</v>
      </c>
      <c r="O17" s="229">
        <f>+M17</f>
        <v>0.31</v>
      </c>
      <c r="Q17" s="229">
        <f>+O17</f>
        <v>0.31</v>
      </c>
      <c r="S17" s="231"/>
      <c r="T17" s="78">
        <f t="shared" si="0"/>
        <v>2024</v>
      </c>
      <c r="U17" s="231"/>
    </row>
    <row r="18" spans="5:21" ht="15">
      <c r="E18" s="229"/>
      <c r="F18" s="230"/>
      <c r="G18" s="229"/>
      <c r="H18" s="230"/>
      <c r="I18" s="229"/>
      <c r="J18" s="230"/>
      <c r="K18" s="229"/>
      <c r="M18" s="229"/>
      <c r="O18" s="229"/>
      <c r="Q18" s="229"/>
      <c r="S18" s="231"/>
      <c r="T18" s="78">
        <f t="shared" si="0"/>
        <v>2025</v>
      </c>
      <c r="U18" s="231"/>
    </row>
    <row r="19" spans="2:26" ht="15">
      <c r="B19" s="228" t="s">
        <v>168</v>
      </c>
      <c r="E19" s="230"/>
      <c r="F19" s="230"/>
      <c r="G19" s="230"/>
      <c r="H19" s="230"/>
      <c r="I19" s="230"/>
      <c r="J19" s="230"/>
      <c r="K19" s="230"/>
      <c r="M19" s="230"/>
      <c r="O19" s="230"/>
      <c r="Q19" s="230"/>
      <c r="S19" s="231"/>
      <c r="T19" s="78">
        <f t="shared" si="0"/>
        <v>2026</v>
      </c>
      <c r="U19" s="231"/>
      <c r="Z19" s="191"/>
    </row>
    <row r="20" spans="2:21" ht="15">
      <c r="B20" s="80" t="s">
        <v>159</v>
      </c>
      <c r="E20" s="229">
        <v>0.26</v>
      </c>
      <c r="F20" s="230"/>
      <c r="G20" s="229">
        <v>0.26</v>
      </c>
      <c r="H20" s="230"/>
      <c r="I20" s="229">
        <v>0.26</v>
      </c>
      <c r="J20" s="230"/>
      <c r="K20" s="229">
        <v>0.26</v>
      </c>
      <c r="M20" s="229">
        <v>0.26</v>
      </c>
      <c r="O20" s="229">
        <v>0.26</v>
      </c>
      <c r="Q20" s="229">
        <v>0.26</v>
      </c>
      <c r="S20" s="231"/>
      <c r="T20" s="78">
        <f t="shared" si="0"/>
        <v>2027</v>
      </c>
      <c r="U20" s="231"/>
    </row>
    <row r="21" spans="2:17" ht="15">
      <c r="B21" s="80" t="s">
        <v>160</v>
      </c>
      <c r="E21" s="229">
        <v>0.26</v>
      </c>
      <c r="F21" s="230"/>
      <c r="G21" s="229">
        <v>0.26</v>
      </c>
      <c r="H21" s="230"/>
      <c r="I21" s="229">
        <v>0.26</v>
      </c>
      <c r="J21" s="230"/>
      <c r="K21" s="229">
        <v>0.26</v>
      </c>
      <c r="M21" s="229">
        <v>0.26</v>
      </c>
      <c r="O21" s="229">
        <v>0.26</v>
      </c>
      <c r="Q21" s="229">
        <v>0.26</v>
      </c>
    </row>
    <row r="22" spans="2:17" ht="15">
      <c r="B22" s="80" t="s">
        <v>161</v>
      </c>
      <c r="E22" s="229">
        <v>0.26</v>
      </c>
      <c r="F22" s="230"/>
      <c r="G22" s="229">
        <v>0.26</v>
      </c>
      <c r="H22" s="230"/>
      <c r="I22" s="229">
        <v>0.26</v>
      </c>
      <c r="J22" s="230"/>
      <c r="K22" s="229">
        <v>0.26</v>
      </c>
      <c r="M22" s="229">
        <v>0.26</v>
      </c>
      <c r="O22" s="229">
        <v>0.26</v>
      </c>
      <c r="Q22" s="229">
        <v>0.26</v>
      </c>
    </row>
    <row r="24" spans="1:256" ht="15">
      <c r="A24" s="227"/>
      <c r="B24" s="232" t="s">
        <v>98</v>
      </c>
      <c r="C24" s="233"/>
      <c r="D24" s="233"/>
      <c r="E24" s="234" t="s">
        <v>21</v>
      </c>
      <c r="F24" s="233"/>
      <c r="G24" s="234" t="s">
        <v>54</v>
      </c>
      <c r="H24" s="233"/>
      <c r="I24" s="234" t="s">
        <v>56</v>
      </c>
      <c r="J24" s="233"/>
      <c r="K24" s="234" t="s">
        <v>58</v>
      </c>
      <c r="L24" s="233"/>
      <c r="M24" s="234" t="s">
        <v>60</v>
      </c>
      <c r="N24" s="233"/>
      <c r="O24" s="234" t="s">
        <v>99</v>
      </c>
      <c r="P24" s="233"/>
      <c r="Q24" s="234" t="s">
        <v>100</v>
      </c>
      <c r="R24" s="227"/>
      <c r="T24" s="227"/>
      <c r="U24" s="227"/>
      <c r="V24" s="227"/>
      <c r="W24" s="227" t="s">
        <v>194</v>
      </c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7"/>
      <c r="GH24" s="227"/>
      <c r="GI24" s="227"/>
      <c r="GJ24" s="227"/>
      <c r="GK24" s="227"/>
      <c r="GL24" s="227"/>
      <c r="GM24" s="227"/>
      <c r="GN24" s="227"/>
      <c r="GO24" s="227"/>
      <c r="GP24" s="227"/>
      <c r="GQ24" s="227"/>
      <c r="GR24" s="227"/>
      <c r="GS24" s="227"/>
      <c r="GT24" s="227"/>
      <c r="GU24" s="227"/>
      <c r="GV24" s="227"/>
      <c r="GW24" s="227"/>
      <c r="GX24" s="227"/>
      <c r="GY24" s="227"/>
      <c r="GZ24" s="227"/>
      <c r="HA24" s="227"/>
      <c r="HB24" s="227"/>
      <c r="HC24" s="227"/>
      <c r="HD24" s="227"/>
      <c r="HE24" s="227"/>
      <c r="HF24" s="227"/>
      <c r="HG24" s="227"/>
      <c r="HH24" s="227"/>
      <c r="HI24" s="227"/>
      <c r="HJ24" s="227"/>
      <c r="HK24" s="227"/>
      <c r="HL24" s="227"/>
      <c r="HM24" s="227"/>
      <c r="HN24" s="227"/>
      <c r="HO24" s="227"/>
      <c r="HP24" s="227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  <c r="IM24" s="227"/>
      <c r="IN24" s="227"/>
      <c r="IO24" s="227"/>
      <c r="IP24" s="227"/>
      <c r="IQ24" s="227"/>
      <c r="IR24" s="227"/>
      <c r="IS24" s="227"/>
      <c r="IT24" s="227"/>
      <c r="IU24" s="227"/>
      <c r="IV24" s="227"/>
    </row>
    <row r="25" spans="2:23" ht="15">
      <c r="B25" s="201" t="s">
        <v>63</v>
      </c>
      <c r="C25" s="235"/>
      <c r="D25" s="235"/>
      <c r="E25" s="236">
        <f aca="true" t="shared" si="1" ref="E25:E30">IF(X$15&lt;$T$20,HLOOKUP(X$16,$E$5:$Q$17,$W25,FALSE),$Q7+(0.005*(X$15-$T$20)))</f>
        <v>0.326</v>
      </c>
      <c r="F25" s="237"/>
      <c r="G25" s="236">
        <f aca="true" t="shared" si="2" ref="G25:G30">IF(Z$15&lt;$T$20,HLOOKUP(Z$16,$E$5:$Q$17,$W25,FALSE),$Q7+(0.005*(Z$15-$T$20)))</f>
        <v>0.29100000000000004</v>
      </c>
      <c r="H25" s="237"/>
      <c r="I25" s="236">
        <f aca="true" t="shared" si="3" ref="I25:I30">IF(AB$15&lt;$T$20,HLOOKUP(AB$16,$E$5:$Q$17,$W25,FALSE),$Q7+(0.005*(AB$15-$T$20)))</f>
        <v>0.278</v>
      </c>
      <c r="J25" s="237"/>
      <c r="K25" s="236">
        <f aca="true" t="shared" si="4" ref="K25:K30">IF(AD$15&lt;$T$20,HLOOKUP(AD$16,$E$5:$Q$17,$W25,FALSE),$Q7+(0.005*(AD$15-$T$20)))</f>
        <v>0.299</v>
      </c>
      <c r="L25" s="237"/>
      <c r="M25" s="236">
        <f aca="true" t="shared" si="5" ref="M25:M30">IF(AF$15&lt;$T$20,HLOOKUP(AF$16,$E$5:$Q$17,$W25,FALSE),$Q7+(0.005*(AF$15-$T$20)))</f>
        <v>0.311</v>
      </c>
      <c r="N25" s="237"/>
      <c r="O25" s="236">
        <f aca="true" t="shared" si="6" ref="O25:O30">IF(AH$15&lt;$T$20,HLOOKUP(AH$16,$E$5:$Q$17,$W25,FALSE),$Q7+(0.005*(AH$15-$T$20)))</f>
        <v>0.314</v>
      </c>
      <c r="P25" s="237"/>
      <c r="Q25" s="236">
        <f aca="true" t="shared" si="7" ref="Q25:Q30">IF(AJ$15&lt;$T$20,HLOOKUP(AJ$16,$E$5:$Q$17,$W25,FALSE),$Q7+(0.005*(AJ$15-$T$20)))</f>
        <v>0.318</v>
      </c>
      <c r="W25" s="78">
        <v>3</v>
      </c>
    </row>
    <row r="26" spans="2:23" ht="15">
      <c r="B26" s="201" t="s">
        <v>85</v>
      </c>
      <c r="C26" s="235"/>
      <c r="D26" s="235"/>
      <c r="E26" s="236">
        <f t="shared" si="1"/>
        <v>0.315</v>
      </c>
      <c r="F26" s="238"/>
      <c r="G26" s="236">
        <f t="shared" si="2"/>
        <v>0.312</v>
      </c>
      <c r="H26" s="237"/>
      <c r="I26" s="236">
        <f t="shared" si="3"/>
        <v>0.382</v>
      </c>
      <c r="J26" s="238"/>
      <c r="K26" s="236">
        <f t="shared" si="4"/>
        <v>0.395</v>
      </c>
      <c r="L26" s="238"/>
      <c r="M26" s="236">
        <f t="shared" si="5"/>
        <v>0.37100000000000005</v>
      </c>
      <c r="N26" s="238"/>
      <c r="O26" s="236">
        <f t="shared" si="6"/>
        <v>0.373</v>
      </c>
      <c r="P26" s="238"/>
      <c r="Q26" s="236">
        <f t="shared" si="7"/>
        <v>0.374</v>
      </c>
      <c r="W26" s="78">
        <v>4</v>
      </c>
    </row>
    <row r="27" spans="2:23" ht="15">
      <c r="B27" s="201" t="s">
        <v>178</v>
      </c>
      <c r="C27" s="235"/>
      <c r="D27" s="235"/>
      <c r="E27" s="236">
        <f t="shared" si="1"/>
        <v>0.354</v>
      </c>
      <c r="F27" s="238"/>
      <c r="G27" s="236">
        <f t="shared" si="2"/>
        <v>0.371</v>
      </c>
      <c r="H27" s="237"/>
      <c r="I27" s="236">
        <f t="shared" si="3"/>
        <v>0.454</v>
      </c>
      <c r="J27" s="238"/>
      <c r="K27" s="236">
        <f t="shared" si="4"/>
        <v>0.452</v>
      </c>
      <c r="L27" s="238"/>
      <c r="M27" s="236">
        <f t="shared" si="5"/>
        <v>0.439</v>
      </c>
      <c r="N27" s="238"/>
      <c r="O27" s="236">
        <f t="shared" si="6"/>
        <v>0.449</v>
      </c>
      <c r="P27" s="238"/>
      <c r="Q27" s="236">
        <f t="shared" si="7"/>
        <v>0.46</v>
      </c>
      <c r="W27" s="78">
        <v>5</v>
      </c>
    </row>
    <row r="28" spans="2:23" ht="15">
      <c r="B28" s="201" t="s">
        <v>64</v>
      </c>
      <c r="C28" s="235"/>
      <c r="D28" s="235"/>
      <c r="E28" s="236">
        <f t="shared" si="1"/>
        <v>0.361</v>
      </c>
      <c r="F28" s="238"/>
      <c r="G28" s="236">
        <f t="shared" si="2"/>
        <v>0.372</v>
      </c>
      <c r="H28" s="237"/>
      <c r="I28" s="236">
        <f t="shared" si="3"/>
        <v>0.34900000000000003</v>
      </c>
      <c r="J28" s="238"/>
      <c r="K28" s="236">
        <f t="shared" si="4"/>
        <v>0.36300000000000004</v>
      </c>
      <c r="L28" s="238"/>
      <c r="M28" s="236">
        <f t="shared" si="5"/>
        <v>0.40700000000000003</v>
      </c>
      <c r="N28" s="238"/>
      <c r="O28" s="236">
        <f t="shared" si="6"/>
        <v>0.40900000000000003</v>
      </c>
      <c r="P28" s="238"/>
      <c r="Q28" s="236">
        <f t="shared" si="7"/>
        <v>0.41000000000000003</v>
      </c>
      <c r="W28" s="78">
        <v>6</v>
      </c>
    </row>
    <row r="29" spans="2:23" ht="15">
      <c r="B29" s="201" t="s">
        <v>65</v>
      </c>
      <c r="C29" s="235"/>
      <c r="D29" s="235"/>
      <c r="E29" s="236">
        <f t="shared" si="1"/>
        <v>0.071</v>
      </c>
      <c r="F29" s="238"/>
      <c r="G29" s="236">
        <f t="shared" si="2"/>
        <v>0.072</v>
      </c>
      <c r="H29" s="237"/>
      <c r="I29" s="236">
        <f t="shared" si="3"/>
        <v>0.073</v>
      </c>
      <c r="J29" s="238"/>
      <c r="K29" s="236">
        <f t="shared" si="4"/>
        <v>0.076</v>
      </c>
      <c r="L29" s="238"/>
      <c r="M29" s="236">
        <f t="shared" si="5"/>
        <v>0.075</v>
      </c>
      <c r="N29" s="238"/>
      <c r="O29" s="236">
        <f t="shared" si="6"/>
        <v>0.075</v>
      </c>
      <c r="P29" s="238"/>
      <c r="Q29" s="236">
        <f t="shared" si="7"/>
        <v>0.075</v>
      </c>
      <c r="W29" s="78">
        <v>7</v>
      </c>
    </row>
    <row r="30" spans="2:23" ht="15">
      <c r="B30" s="201" t="s">
        <v>86</v>
      </c>
      <c r="C30" s="235"/>
      <c r="D30" s="235"/>
      <c r="E30" s="236">
        <f t="shared" si="1"/>
        <v>0.206</v>
      </c>
      <c r="F30" s="238"/>
      <c r="G30" s="236">
        <f t="shared" si="2"/>
        <v>0.193</v>
      </c>
      <c r="H30" s="237"/>
      <c r="I30" s="236">
        <f t="shared" si="3"/>
        <v>0.183</v>
      </c>
      <c r="J30" s="238"/>
      <c r="K30" s="236">
        <f t="shared" si="4"/>
        <v>0.184</v>
      </c>
      <c r="L30" s="238"/>
      <c r="M30" s="236">
        <f t="shared" si="5"/>
        <v>0.2</v>
      </c>
      <c r="N30" s="238"/>
      <c r="O30" s="236">
        <f t="shared" si="6"/>
        <v>0.201</v>
      </c>
      <c r="P30" s="238"/>
      <c r="Q30" s="236">
        <f t="shared" si="7"/>
        <v>0.201</v>
      </c>
      <c r="W30" s="78">
        <v>8</v>
      </c>
    </row>
    <row r="31" spans="2:23" ht="15">
      <c r="B31" s="201" t="s">
        <v>163</v>
      </c>
      <c r="C31" s="235"/>
      <c r="D31" s="235"/>
      <c r="E31" s="236">
        <f>IF(X$15&lt;$T$20,HLOOKUP(X$16,$E$5:$Q$17,$W31,FALSE),$Q15)</f>
        <v>0.605</v>
      </c>
      <c r="F31" s="238"/>
      <c r="G31" s="236">
        <f>IF(Z$15&lt;$T$20,HLOOKUP(Z$16,$E$5:$Q$17,$W31,FALSE),$Q15)</f>
        <v>0.62</v>
      </c>
      <c r="H31" s="237"/>
      <c r="I31" s="236">
        <f>IF(AB$15&lt;$T$20,HLOOKUP(AB$16,$E$5:$Q$17,$W31,FALSE),$Q15)</f>
        <v>0.62</v>
      </c>
      <c r="J31" s="238"/>
      <c r="K31" s="236">
        <f>IF(AD$15&lt;$T$20,HLOOKUP(AD$16,$E$5:$Q$17,$W31,FALSE),$Q15)</f>
        <v>0.62</v>
      </c>
      <c r="L31" s="238"/>
      <c r="M31" s="236">
        <f>IF(AF$15&lt;$T$20,HLOOKUP(AF$16,$E$5:$Q$17,$W31,FALSE),$Q15)</f>
        <v>0.62</v>
      </c>
      <c r="N31" s="238"/>
      <c r="O31" s="236">
        <f>IF(AH$15&lt;$T$20,HLOOKUP(AH$16,$E$5:$Q$17,$W31,FALSE),$Q15)</f>
        <v>0.62</v>
      </c>
      <c r="P31" s="238"/>
      <c r="Q31" s="236">
        <f>IF(AJ$15&lt;$T$20,HLOOKUP(AJ$16,$E$5:$Q$17,$W31,FALSE),$Q15)</f>
        <v>0.62</v>
      </c>
      <c r="W31" s="78">
        <v>11</v>
      </c>
    </row>
    <row r="32" spans="2:23" ht="15">
      <c r="B32" s="201" t="s">
        <v>164</v>
      </c>
      <c r="C32" s="235"/>
      <c r="D32" s="235"/>
      <c r="E32" s="236">
        <f>IF(X$15&lt;$T$20,HLOOKUP(X$16,$E$5:$Q$17,$W32,FALSE),$Q16)</f>
        <v>0.57</v>
      </c>
      <c r="F32" s="238"/>
      <c r="G32" s="236">
        <f>IF(Z$15&lt;$T$20,HLOOKUP(Z$16,$E$5:$Q$17,$W32,FALSE),$Q16)</f>
        <v>0.57</v>
      </c>
      <c r="H32" s="237"/>
      <c r="I32" s="236">
        <f>IF(AB$15&lt;$T$20,HLOOKUP(AB$16,$E$5:$Q$17,$W32,FALSE),$Q16)</f>
        <v>0.57</v>
      </c>
      <c r="J32" s="238"/>
      <c r="K32" s="236">
        <f>IF(AD$15&lt;$T$20,HLOOKUP(AD$16,$E$5:$Q$17,$W32,FALSE),$Q16)</f>
        <v>0.57</v>
      </c>
      <c r="L32" s="238"/>
      <c r="M32" s="236">
        <f>IF(AF$15&lt;$T$20,HLOOKUP(AF$16,$E$5:$Q$17,$W32,FALSE),$Q16)</f>
        <v>0.57</v>
      </c>
      <c r="N32" s="238"/>
      <c r="O32" s="236">
        <f>IF(AH$15&lt;$T$20,HLOOKUP(AH$16,$E$5:$Q$17,$W32,FALSE),$Q16)</f>
        <v>0.57</v>
      </c>
      <c r="P32" s="238"/>
      <c r="Q32" s="236">
        <f>IF(AJ$15&lt;$T$20,HLOOKUP(AJ$16,$E$5:$Q$17,$W32,FALSE),$Q16)</f>
        <v>0.57</v>
      </c>
      <c r="W32" s="78">
        <v>12</v>
      </c>
    </row>
    <row r="33" spans="2:23" ht="15">
      <c r="B33" s="201" t="s">
        <v>165</v>
      </c>
      <c r="C33" s="235"/>
      <c r="D33" s="235"/>
      <c r="E33" s="236">
        <f>IF(X$15&lt;$T$20,HLOOKUP(X$16,$E$5:$Q$17,$W33,FALSE),$Q17)</f>
        <v>0.3</v>
      </c>
      <c r="F33" s="238"/>
      <c r="G33" s="236">
        <f>IF(Z$15&lt;$T$20,HLOOKUP(Z$16,$E$5:$Q$17,$W33,FALSE),$Q17)</f>
        <v>0.31</v>
      </c>
      <c r="H33" s="237"/>
      <c r="I33" s="236">
        <f>IF(AB$15&lt;$T$20,HLOOKUP(AB$16,$E$5:$Q$17,$W33,FALSE),$Q17)</f>
        <v>0.31</v>
      </c>
      <c r="J33" s="238"/>
      <c r="K33" s="236">
        <f>IF(AD$15&lt;$T$20,HLOOKUP(AD$16,$E$5:$Q$17,$W33,FALSE),$Q17)</f>
        <v>0.31</v>
      </c>
      <c r="L33" s="238"/>
      <c r="M33" s="236">
        <f>IF(AF$15&lt;$T$20,HLOOKUP(AF$16,$E$5:$Q$17,$W33,FALSE),$Q17)</f>
        <v>0.31</v>
      </c>
      <c r="N33" s="238"/>
      <c r="O33" s="236">
        <f>IF(AH$15&lt;$T$20,HLOOKUP(AH$16,$E$5:$Q$17,$W33,FALSE),$Q17)</f>
        <v>0.31</v>
      </c>
      <c r="P33" s="238"/>
      <c r="Q33" s="236">
        <f>IF(AJ$15&lt;$T$20,HLOOKUP(AJ$16,$E$5:$Q$17,$W33,FALSE),$Q17)</f>
        <v>0.31</v>
      </c>
      <c r="W33" s="78">
        <v>13</v>
      </c>
    </row>
    <row r="34" spans="2:17" ht="15">
      <c r="B34" s="80" t="s">
        <v>1</v>
      </c>
      <c r="Q34" s="229"/>
    </row>
    <row r="35" spans="2:5" ht="15">
      <c r="B35" s="228" t="s">
        <v>66</v>
      </c>
      <c r="E35" s="68"/>
    </row>
    <row r="36" spans="3:13" ht="15">
      <c r="C36" s="80" t="s">
        <v>1</v>
      </c>
      <c r="D36" s="80" t="s">
        <v>1</v>
      </c>
      <c r="J36" s="227"/>
      <c r="K36" s="227"/>
      <c r="M36" s="227"/>
    </row>
    <row r="37" spans="2:17" ht="15">
      <c r="B37" s="228" t="s">
        <v>62</v>
      </c>
      <c r="C37" s="239" t="s">
        <v>67</v>
      </c>
      <c r="D37" s="239"/>
      <c r="E37" s="197" t="s">
        <v>7</v>
      </c>
      <c r="F37" s="240"/>
      <c r="G37" s="197" t="s">
        <v>53</v>
      </c>
      <c r="H37" s="240"/>
      <c r="I37" s="197" t="s">
        <v>55</v>
      </c>
      <c r="K37" s="197" t="s">
        <v>57</v>
      </c>
      <c r="M37" s="197" t="s">
        <v>59</v>
      </c>
      <c r="O37" s="197" t="s">
        <v>68</v>
      </c>
      <c r="Q37" s="197" t="s">
        <v>69</v>
      </c>
    </row>
    <row r="38" spans="2:17" ht="15">
      <c r="B38" s="80" t="s">
        <v>22</v>
      </c>
      <c r="C38" s="241">
        <f>IF(MONTH($E$2)&lt;7,7-MONTH($E$2),19-MONTH($E$2))</f>
        <v>2</v>
      </c>
      <c r="D38" s="241">
        <f aca="true" t="shared" si="8" ref="D38:D43">12-C38</f>
        <v>10</v>
      </c>
      <c r="E38" s="230">
        <f aca="true" t="shared" si="9" ref="E38:E43">((E25*C38)+(G25*D38))/12</f>
        <v>0.29683333333333334</v>
      </c>
      <c r="F38" s="230"/>
      <c r="G38" s="230">
        <f aca="true" t="shared" si="10" ref="G38:G43">((G25*C38)+(I25*D38))/12</f>
        <v>0.2801666666666667</v>
      </c>
      <c r="H38" s="230"/>
      <c r="I38" s="230">
        <f aca="true" t="shared" si="11" ref="I38:I43">((I25*C38)+(K25*D38))/12</f>
        <v>0.2955</v>
      </c>
      <c r="J38" s="230"/>
      <c r="K38" s="230">
        <f aca="true" t="shared" si="12" ref="K38:K43">((K25*C38)+(M25*D38))/12</f>
        <v>0.309</v>
      </c>
      <c r="M38" s="230">
        <f aca="true" t="shared" si="13" ref="M38:M43">((M25*C38)+(O25*D38))/12</f>
        <v>0.3135</v>
      </c>
      <c r="O38" s="230">
        <f aca="true" t="shared" si="14" ref="O38:O43">((O25*C38)+(Q25*D38))/12</f>
        <v>0.31733333333333336</v>
      </c>
      <c r="P38" s="195"/>
      <c r="Q38" s="230">
        <f aca="true" t="shared" si="15" ref="Q38:Q43">((Q25*C38)+((Q25+0.005)*D38))/12</f>
        <v>0.32216666666666666</v>
      </c>
    </row>
    <row r="39" spans="2:17" ht="15">
      <c r="B39" s="80" t="s">
        <v>87</v>
      </c>
      <c r="C39" s="241">
        <f>$C$38</f>
        <v>2</v>
      </c>
      <c r="D39" s="241">
        <f t="shared" si="8"/>
        <v>10</v>
      </c>
      <c r="E39" s="230">
        <f t="shared" si="9"/>
        <v>0.3125</v>
      </c>
      <c r="F39" s="230"/>
      <c r="G39" s="230">
        <f t="shared" si="10"/>
        <v>0.37033333333333335</v>
      </c>
      <c r="H39" s="230"/>
      <c r="I39" s="230">
        <f t="shared" si="11"/>
        <v>0.39283333333333337</v>
      </c>
      <c r="J39" s="230"/>
      <c r="K39" s="230">
        <f t="shared" si="12"/>
        <v>0.375</v>
      </c>
      <c r="M39" s="230">
        <f t="shared" si="13"/>
        <v>0.3726666666666667</v>
      </c>
      <c r="O39" s="230">
        <f t="shared" si="14"/>
        <v>0.3738333333333334</v>
      </c>
      <c r="P39" s="195"/>
      <c r="Q39" s="230">
        <f t="shared" si="15"/>
        <v>0.3781666666666667</v>
      </c>
    </row>
    <row r="40" spans="2:17" ht="15">
      <c r="B40" s="80" t="s">
        <v>178</v>
      </c>
      <c r="C40" s="241">
        <f>$C$38</f>
        <v>2</v>
      </c>
      <c r="D40" s="241">
        <f t="shared" si="8"/>
        <v>10</v>
      </c>
      <c r="E40" s="230">
        <f t="shared" si="9"/>
        <v>0.3681666666666667</v>
      </c>
      <c r="F40" s="230"/>
      <c r="G40" s="230">
        <f t="shared" si="10"/>
        <v>0.44016666666666665</v>
      </c>
      <c r="H40" s="230"/>
      <c r="I40" s="230">
        <f t="shared" si="11"/>
        <v>0.4523333333333334</v>
      </c>
      <c r="J40" s="230"/>
      <c r="K40" s="230">
        <f t="shared" si="12"/>
        <v>0.44116666666666665</v>
      </c>
      <c r="M40" s="230">
        <f t="shared" si="13"/>
        <v>0.44733333333333336</v>
      </c>
      <c r="O40" s="230">
        <f t="shared" si="14"/>
        <v>0.45816666666666667</v>
      </c>
      <c r="P40" s="195"/>
      <c r="Q40" s="230">
        <f t="shared" si="15"/>
        <v>0.46416666666666667</v>
      </c>
    </row>
    <row r="41" spans="2:17" ht="15">
      <c r="B41" s="80" t="s">
        <v>64</v>
      </c>
      <c r="C41" s="241">
        <f>$C$38</f>
        <v>2</v>
      </c>
      <c r="D41" s="241">
        <f t="shared" si="8"/>
        <v>10</v>
      </c>
      <c r="E41" s="230">
        <f t="shared" si="9"/>
        <v>0.3701666666666667</v>
      </c>
      <c r="F41" s="230"/>
      <c r="G41" s="230">
        <f t="shared" si="10"/>
        <v>0.35283333333333333</v>
      </c>
      <c r="H41" s="230"/>
      <c r="I41" s="230">
        <f t="shared" si="11"/>
        <v>0.3606666666666667</v>
      </c>
      <c r="J41" s="230"/>
      <c r="K41" s="230">
        <f t="shared" si="12"/>
        <v>0.39966666666666667</v>
      </c>
      <c r="M41" s="230">
        <f t="shared" si="13"/>
        <v>0.4086666666666667</v>
      </c>
      <c r="O41" s="230">
        <f t="shared" si="14"/>
        <v>0.40983333333333344</v>
      </c>
      <c r="P41" s="195"/>
      <c r="Q41" s="230">
        <f t="shared" si="15"/>
        <v>0.41416666666666674</v>
      </c>
    </row>
    <row r="42" spans="2:17" ht="15">
      <c r="B42" s="80" t="s">
        <v>65</v>
      </c>
      <c r="C42" s="241">
        <f>$C$38</f>
        <v>2</v>
      </c>
      <c r="D42" s="241">
        <f t="shared" si="8"/>
        <v>10</v>
      </c>
      <c r="E42" s="230">
        <f t="shared" si="9"/>
        <v>0.07183333333333333</v>
      </c>
      <c r="F42" s="230"/>
      <c r="G42" s="230">
        <f t="shared" si="10"/>
        <v>0.07283333333333333</v>
      </c>
      <c r="H42" s="230"/>
      <c r="I42" s="230">
        <f t="shared" si="11"/>
        <v>0.0755</v>
      </c>
      <c r="J42" s="230"/>
      <c r="K42" s="230">
        <f t="shared" si="12"/>
        <v>0.07516666666666667</v>
      </c>
      <c r="M42" s="230">
        <f t="shared" si="13"/>
        <v>0.075</v>
      </c>
      <c r="O42" s="230">
        <f t="shared" si="14"/>
        <v>0.075</v>
      </c>
      <c r="P42" s="195"/>
      <c r="Q42" s="230">
        <f t="shared" si="15"/>
        <v>0.07916666666666668</v>
      </c>
    </row>
    <row r="43" spans="2:17" ht="15">
      <c r="B43" s="80" t="s">
        <v>90</v>
      </c>
      <c r="C43" s="241">
        <f>$C$38</f>
        <v>2</v>
      </c>
      <c r="D43" s="241">
        <f t="shared" si="8"/>
        <v>10</v>
      </c>
      <c r="E43" s="230">
        <f t="shared" si="9"/>
        <v>0.19516666666666668</v>
      </c>
      <c r="F43" s="230"/>
      <c r="G43" s="230">
        <f t="shared" si="10"/>
        <v>0.18466666666666667</v>
      </c>
      <c r="H43" s="230"/>
      <c r="I43" s="230">
        <f t="shared" si="11"/>
        <v>0.18383333333333332</v>
      </c>
      <c r="J43" s="230"/>
      <c r="K43" s="230">
        <f t="shared" si="12"/>
        <v>0.19733333333333333</v>
      </c>
      <c r="M43" s="230">
        <f t="shared" si="13"/>
        <v>0.20083333333333334</v>
      </c>
      <c r="O43" s="230">
        <f t="shared" si="14"/>
        <v>0.20100000000000004</v>
      </c>
      <c r="P43" s="195"/>
      <c r="Q43" s="230">
        <f t="shared" si="15"/>
        <v>0.2051666666666667</v>
      </c>
    </row>
    <row r="44" spans="3:17" ht="15">
      <c r="C44" s="195"/>
      <c r="D44" s="195"/>
      <c r="J44" s="230"/>
      <c r="Q44" s="242" t="s">
        <v>1</v>
      </c>
    </row>
    <row r="45" spans="2:17" ht="15">
      <c r="B45" s="228" t="s">
        <v>158</v>
      </c>
      <c r="C45" s="195"/>
      <c r="D45" s="195"/>
      <c r="Q45" s="242" t="s">
        <v>1</v>
      </c>
    </row>
    <row r="46" spans="2:17" ht="15">
      <c r="B46" s="80" t="s">
        <v>159</v>
      </c>
      <c r="C46" s="241">
        <f>$C$38</f>
        <v>2</v>
      </c>
      <c r="D46" s="241">
        <f>12-C46</f>
        <v>10</v>
      </c>
      <c r="E46" s="230">
        <f>((E31*C46)+(G31*D46))/12</f>
        <v>0.6175</v>
      </c>
      <c r="F46" s="230"/>
      <c r="G46" s="230">
        <f>((G31*C46)+(I31*D46))/12</f>
        <v>0.62</v>
      </c>
      <c r="H46" s="230"/>
      <c r="I46" s="230">
        <f>((I31*C46)+(K31*D46))/12</f>
        <v>0.62</v>
      </c>
      <c r="K46" s="230">
        <f>((K31*C46)+(M31*D46))/12</f>
        <v>0.62</v>
      </c>
      <c r="M46" s="230">
        <f>((M31*C46)+(O31*D46))/12</f>
        <v>0.62</v>
      </c>
      <c r="O46" s="230">
        <f>((O31*C46)+(Q31*D46))/12</f>
        <v>0.62</v>
      </c>
      <c r="Q46" s="230">
        <f>+O46</f>
        <v>0.62</v>
      </c>
    </row>
    <row r="47" spans="2:17" ht="15">
      <c r="B47" s="80" t="s">
        <v>160</v>
      </c>
      <c r="C47" s="241">
        <f>$C$38</f>
        <v>2</v>
      </c>
      <c r="D47" s="241">
        <f>12-C47</f>
        <v>10</v>
      </c>
      <c r="E47" s="230">
        <f>((E32*C47)+(G32*D47))/12</f>
        <v>0.57</v>
      </c>
      <c r="F47" s="230"/>
      <c r="G47" s="230">
        <f>((G32*C47)+(I32*D47))/12</f>
        <v>0.57</v>
      </c>
      <c r="H47" s="230"/>
      <c r="I47" s="230">
        <f>((I32*C47)+(K32*D47))/12</f>
        <v>0.57</v>
      </c>
      <c r="K47" s="230">
        <f>((K32*C47)+(M32*D47))/12</f>
        <v>0.57</v>
      </c>
      <c r="M47" s="230">
        <f>((M32*C47)+(O32*D47))/12</f>
        <v>0.57</v>
      </c>
      <c r="O47" s="230">
        <f>((O32*C47)+(Q32*D47))/12</f>
        <v>0.57</v>
      </c>
      <c r="Q47" s="230">
        <f>+O47</f>
        <v>0.57</v>
      </c>
    </row>
    <row r="48" spans="2:17" ht="15">
      <c r="B48" s="80" t="s">
        <v>161</v>
      </c>
      <c r="C48" s="241">
        <f>$C$38</f>
        <v>2</v>
      </c>
      <c r="D48" s="241">
        <f>12-C48</f>
        <v>10</v>
      </c>
      <c r="E48" s="230">
        <f>((E33*C48)+(G33*D48))/12</f>
        <v>0.30833333333333335</v>
      </c>
      <c r="F48" s="230"/>
      <c r="G48" s="230">
        <f>((G33*C48)+(I33*D48))/12</f>
        <v>0.31</v>
      </c>
      <c r="H48" s="230"/>
      <c r="I48" s="230">
        <f>((I33*C48)+(K33*D48))/12</f>
        <v>0.31</v>
      </c>
      <c r="K48" s="230">
        <f>((K33*C48)+(M33*D48))/12</f>
        <v>0.31</v>
      </c>
      <c r="M48" s="230">
        <f>((M33*C48)+(O33*D48))/12</f>
        <v>0.31</v>
      </c>
      <c r="O48" s="230">
        <f>((O33*C48)+(Q33*D48))/12</f>
        <v>0.31</v>
      </c>
      <c r="Q48" s="230">
        <f>+O48</f>
        <v>0.31</v>
      </c>
    </row>
    <row r="49" spans="3:17" ht="15">
      <c r="C49" s="195"/>
      <c r="D49" s="195"/>
      <c r="K49" s="242" t="s">
        <v>1</v>
      </c>
      <c r="M49" s="242" t="s">
        <v>1</v>
      </c>
      <c r="O49" s="242" t="s">
        <v>1</v>
      </c>
      <c r="Q49" s="242" t="s">
        <v>1</v>
      </c>
    </row>
    <row r="50" spans="2:17" ht="15">
      <c r="B50" s="228" t="s">
        <v>162</v>
      </c>
      <c r="C50" s="195"/>
      <c r="D50" s="195"/>
      <c r="K50" s="242" t="s">
        <v>1</v>
      </c>
      <c r="M50" s="242" t="s">
        <v>1</v>
      </c>
      <c r="O50" s="242" t="s">
        <v>1</v>
      </c>
      <c r="Q50" s="242" t="s">
        <v>1</v>
      </c>
    </row>
    <row r="51" spans="2:17" ht="15">
      <c r="B51" s="80" t="s">
        <v>159</v>
      </c>
      <c r="C51" s="241">
        <f>$C$38</f>
        <v>2</v>
      </c>
      <c r="D51" s="241">
        <f>12-C51</f>
        <v>10</v>
      </c>
      <c r="E51" s="230">
        <f>IF($E$3="FY18",E20,IF($E$3="FY19",G20,IF($E$3="FY20",I20,IF($E$3="FY21",K20,IF($E$3="FY22",M20,IF($E$3="FY23",O20,IF($E$3="FY24",Q20,0)))))))</f>
        <v>0.26</v>
      </c>
      <c r="F51" s="230"/>
      <c r="G51" s="230">
        <f>((G20*C51)+(I20*D51))/12</f>
        <v>0.26</v>
      </c>
      <c r="H51" s="230"/>
      <c r="I51" s="230">
        <f>((I20*C51)+(K20*D51))/12</f>
        <v>0.26</v>
      </c>
      <c r="K51" s="230">
        <f>((K20*C51)+(M20*D51))/12</f>
        <v>0.26</v>
      </c>
      <c r="M51" s="230">
        <f>((M20*C51)+(O20*D51))/12</f>
        <v>0.26</v>
      </c>
      <c r="O51" s="230">
        <f>((O20*C51)+(Q20*D51))/12</f>
        <v>0.26</v>
      </c>
      <c r="Q51" s="230">
        <f>Q20</f>
        <v>0.26</v>
      </c>
    </row>
    <row r="52" spans="2:17" ht="15">
      <c r="B52" s="80" t="s">
        <v>160</v>
      </c>
      <c r="C52" s="241">
        <f>$C$38</f>
        <v>2</v>
      </c>
      <c r="D52" s="241">
        <f>12-C52</f>
        <v>10</v>
      </c>
      <c r="E52" s="230">
        <f>IF($E$3="FY18",E21,IF($E$3="FY19",G21,IF($E$3="FY20",I21,IF($E$3="FY21",K21,IF($E$3="FY22",M21,IF($E$3="FY23",O21,IF($E$3="FY24",Q21,0)))))))</f>
        <v>0.26</v>
      </c>
      <c r="F52" s="230"/>
      <c r="G52" s="230">
        <f>((G21*C52)+(I21*D52))/12</f>
        <v>0.26</v>
      </c>
      <c r="H52" s="230"/>
      <c r="I52" s="230">
        <f>((I21*C52)+(K21*D52))/12</f>
        <v>0.26</v>
      </c>
      <c r="K52" s="230">
        <f>((K21*C52)+(M21*D52))/12</f>
        <v>0.26</v>
      </c>
      <c r="M52" s="230">
        <f>((M21*C52)+(O21*D52))/12</f>
        <v>0.26</v>
      </c>
      <c r="O52" s="230">
        <f>((O21*C52)+(Q21*D52))/12</f>
        <v>0.26</v>
      </c>
      <c r="Q52" s="230">
        <f>Q21</f>
        <v>0.26</v>
      </c>
    </row>
    <row r="53" spans="2:17" ht="15">
      <c r="B53" s="80" t="s">
        <v>161</v>
      </c>
      <c r="C53" s="241">
        <f>$C$38</f>
        <v>2</v>
      </c>
      <c r="D53" s="241">
        <f>12-C53</f>
        <v>10</v>
      </c>
      <c r="E53" s="230">
        <f>IF($E$3="FY18",E22,IF($E$3="FY19",G22,IF($E$3="FY20",I22,IF($E$3="FY21",K22,IF($E$3="FY22",M22,IF($E$3="FY23",O22,IF($E$3="FY24",Q22,0)))))))</f>
        <v>0.26</v>
      </c>
      <c r="F53" s="230"/>
      <c r="G53" s="230">
        <f>((G22*C53)+(I22*D53))/12</f>
        <v>0.26</v>
      </c>
      <c r="H53" s="230"/>
      <c r="I53" s="230">
        <f>((I22*C53)+(K22*D53))/12</f>
        <v>0.26</v>
      </c>
      <c r="K53" s="230">
        <f>((K22*C53)+(M22*D53))/12</f>
        <v>0.26</v>
      </c>
      <c r="M53" s="230">
        <f>((M22*C53)+(O22*D53))/12</f>
        <v>0.26</v>
      </c>
      <c r="O53" s="230">
        <f>((O22*C53)+(Q22*D53))/12</f>
        <v>0.26</v>
      </c>
      <c r="Q53" s="230">
        <f>Q22</f>
        <v>0.26</v>
      </c>
    </row>
    <row r="54" spans="5:17" ht="15"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63" ht="17.25">
      <c r="N63" s="192" t="s">
        <v>195</v>
      </c>
    </row>
  </sheetData>
  <sheetProtection/>
  <mergeCells count="1">
    <mergeCell ref="X14:AJ14"/>
  </mergeCells>
  <dataValidations count="1">
    <dataValidation type="list" allowBlank="1" showInputMessage="1" showErrorMessage="1" sqref="E3">
      <formula1>$U$4:$U$10</formula1>
    </dataValidation>
  </dataValidations>
  <printOptions/>
  <pageMargins left="0.5" right="0.3" top="1" bottom="0.667" header="0.5" footer="0.5"/>
  <pageSetup fitToHeight="1" fitToWidth="1" horizontalDpi="300" verticalDpi="3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1" sqref="A1:IV16384"/>
    </sheetView>
  </sheetViews>
  <sheetFormatPr defaultColWidth="8.00390625" defaultRowHeight="15.75"/>
  <cols>
    <col min="1" max="6" width="8.00390625" style="93" customWidth="1"/>
    <col min="7" max="8" width="9.375" style="93" customWidth="1"/>
    <col min="9" max="9" width="4.125" style="93" customWidth="1"/>
    <col min="10" max="11" width="9.375" style="93" customWidth="1"/>
    <col min="12" max="12" width="4.125" style="93" customWidth="1"/>
    <col min="13" max="16" width="9.375" style="93" customWidth="1"/>
    <col min="17" max="17" width="4.125" style="93" customWidth="1"/>
    <col min="18" max="19" width="9.375" style="93" customWidth="1"/>
    <col min="20" max="16384" width="8.00390625" style="93" customWidth="1"/>
  </cols>
  <sheetData>
    <row r="1" spans="8:17" ht="11.25">
      <c r="H1" s="94" t="s">
        <v>129</v>
      </c>
      <c r="K1" s="95"/>
      <c r="L1" s="95"/>
      <c r="P1" s="94"/>
      <c r="Q1" s="96"/>
    </row>
    <row r="2" spans="8:17" ht="11.25">
      <c r="H2" s="94" t="s">
        <v>130</v>
      </c>
      <c r="K2" s="95"/>
      <c r="L2" s="95"/>
      <c r="M2" s="95"/>
      <c r="O2" s="94"/>
      <c r="P2" s="94"/>
      <c r="Q2" s="96"/>
    </row>
    <row r="6" spans="1:14" ht="11.25">
      <c r="A6" s="273" t="s">
        <v>131</v>
      </c>
      <c r="B6" s="273"/>
      <c r="C6" s="97"/>
      <c r="D6" s="273" t="s">
        <v>132</v>
      </c>
      <c r="E6" s="275"/>
      <c r="F6" s="98"/>
      <c r="G6" s="273" t="s">
        <v>133</v>
      </c>
      <c r="H6" s="273"/>
      <c r="I6" s="99"/>
      <c r="J6" s="271"/>
      <c r="K6" s="271"/>
      <c r="L6" s="95"/>
      <c r="M6" s="271"/>
      <c r="N6" s="271"/>
    </row>
    <row r="7" spans="1:14" ht="11.25">
      <c r="A7" s="274" t="s">
        <v>134</v>
      </c>
      <c r="B7" s="274"/>
      <c r="C7" s="97"/>
      <c r="D7" s="274" t="s">
        <v>135</v>
      </c>
      <c r="E7" s="276"/>
      <c r="F7" s="98"/>
      <c r="G7" s="274" t="s">
        <v>136</v>
      </c>
      <c r="H7" s="276"/>
      <c r="I7" s="100"/>
      <c r="J7" s="271"/>
      <c r="K7" s="271"/>
      <c r="L7" s="209"/>
      <c r="M7" s="271"/>
      <c r="N7" s="271"/>
    </row>
    <row r="8" spans="1:14" ht="11.25">
      <c r="A8" s="100"/>
      <c r="B8" s="100"/>
      <c r="C8" s="100"/>
      <c r="D8" s="100"/>
      <c r="E8" s="98"/>
      <c r="F8" s="98"/>
      <c r="G8" s="100"/>
      <c r="H8" s="100"/>
      <c r="I8" s="100"/>
      <c r="J8" s="209"/>
      <c r="K8" s="209"/>
      <c r="L8" s="209"/>
      <c r="M8" s="209"/>
      <c r="N8" s="209"/>
    </row>
    <row r="9" spans="1:14" ht="11.25">
      <c r="A9" s="101" t="s">
        <v>137</v>
      </c>
      <c r="B9" s="101" t="s">
        <v>138</v>
      </c>
      <c r="C9" s="99"/>
      <c r="D9" s="101" t="s">
        <v>139</v>
      </c>
      <c r="E9" s="101" t="s">
        <v>123</v>
      </c>
      <c r="F9" s="98"/>
      <c r="G9" s="101" t="s">
        <v>140</v>
      </c>
      <c r="H9" s="101" t="s">
        <v>141</v>
      </c>
      <c r="I9" s="99"/>
      <c r="J9" s="210"/>
      <c r="K9" s="210"/>
      <c r="L9" s="95"/>
      <c r="M9" s="210"/>
      <c r="N9" s="210"/>
    </row>
    <row r="10" spans="3:7" ht="11.25">
      <c r="C10" s="102"/>
      <c r="E10" s="102"/>
      <c r="F10" s="102"/>
      <c r="G10" s="102"/>
    </row>
    <row r="11" spans="1:14" ht="12">
      <c r="A11" s="103">
        <v>1</v>
      </c>
      <c r="B11" s="104">
        <f>15.65*A11/4.3333</f>
        <v>3.6115662428172524</v>
      </c>
      <c r="C11" s="211"/>
      <c r="D11" s="103">
        <f>A11</f>
        <v>1</v>
      </c>
      <c r="E11" s="104">
        <f>36.35*D11/4.3333</f>
        <v>8.38852606558512</v>
      </c>
      <c r="G11" s="105">
        <f>A11</f>
        <v>1</v>
      </c>
      <c r="H11" s="104">
        <f>52*G11/4.3333</f>
        <v>12.00009230840237</v>
      </c>
      <c r="I11" s="103"/>
      <c r="J11" s="212"/>
      <c r="K11" s="213"/>
      <c r="L11" s="214"/>
      <c r="M11" s="212"/>
      <c r="N11" s="211"/>
    </row>
    <row r="12" spans="1:14" ht="12.75" thickBot="1">
      <c r="A12" s="215"/>
      <c r="B12" s="216"/>
      <c r="C12" s="106"/>
      <c r="D12" s="215"/>
      <c r="E12" s="107"/>
      <c r="F12" s="107"/>
      <c r="G12" s="215"/>
      <c r="H12" s="216"/>
      <c r="I12" s="215"/>
      <c r="J12" s="217"/>
      <c r="K12" s="217"/>
      <c r="L12" s="217"/>
      <c r="M12" s="217"/>
      <c r="N12" s="218"/>
    </row>
    <row r="13" spans="8:18" ht="11.25">
      <c r="H13" s="108"/>
      <c r="N13" s="108"/>
      <c r="R13" s="108"/>
    </row>
    <row r="14" spans="1:16" ht="11.25">
      <c r="A14" s="109" t="s">
        <v>142</v>
      </c>
      <c r="B14" s="110"/>
      <c r="C14" s="110"/>
      <c r="D14" s="110"/>
      <c r="E14" s="110"/>
      <c r="F14" s="110"/>
      <c r="G14" s="109"/>
      <c r="H14" s="109"/>
      <c r="I14" s="109"/>
      <c r="J14" s="109"/>
      <c r="K14" s="110"/>
      <c r="L14" s="110"/>
      <c r="M14" s="109"/>
      <c r="N14" s="109"/>
      <c r="O14" s="110"/>
      <c r="P14" s="109"/>
    </row>
    <row r="15" spans="1:16" ht="11.25">
      <c r="A15" s="109"/>
      <c r="B15" s="110"/>
      <c r="C15" s="110"/>
      <c r="D15" s="110"/>
      <c r="E15" s="110"/>
      <c r="F15" s="110"/>
      <c r="G15" s="109"/>
      <c r="H15" s="109"/>
      <c r="I15" s="109"/>
      <c r="J15" s="109"/>
      <c r="K15" s="110"/>
      <c r="L15" s="110"/>
      <c r="M15" s="109"/>
      <c r="N15" s="109"/>
      <c r="O15" s="110"/>
      <c r="P15" s="109"/>
    </row>
    <row r="16" spans="1:16" ht="11.25">
      <c r="A16" s="109" t="s">
        <v>143</v>
      </c>
      <c r="B16" s="110"/>
      <c r="C16" s="110"/>
      <c r="D16" s="110"/>
      <c r="E16" s="110"/>
      <c r="F16" s="110"/>
      <c r="G16" s="109"/>
      <c r="H16" s="109"/>
      <c r="I16" s="109"/>
      <c r="J16" s="109"/>
      <c r="K16" s="110"/>
      <c r="L16" s="110"/>
      <c r="M16" s="109"/>
      <c r="N16" s="109"/>
      <c r="O16" s="110"/>
      <c r="P16" s="109"/>
    </row>
    <row r="17" spans="1:16" ht="11.25">
      <c r="A17" s="109" t="s">
        <v>144</v>
      </c>
      <c r="B17" s="110"/>
      <c r="C17" s="110"/>
      <c r="D17" s="110"/>
      <c r="E17" s="110"/>
      <c r="F17" s="110"/>
      <c r="G17" s="109"/>
      <c r="H17" s="109"/>
      <c r="I17" s="109"/>
      <c r="J17" s="109"/>
      <c r="K17" s="110"/>
      <c r="L17" s="110"/>
      <c r="M17" s="109"/>
      <c r="N17" s="109"/>
      <c r="O17" s="110"/>
      <c r="P17" s="109"/>
    </row>
    <row r="18" spans="2:15" ht="11.25">
      <c r="B18" s="108"/>
      <c r="C18" s="108"/>
      <c r="D18" s="108"/>
      <c r="E18" s="108"/>
      <c r="F18" s="108"/>
      <c r="K18" s="108"/>
      <c r="L18" s="108"/>
      <c r="O18" s="108"/>
    </row>
    <row r="19" spans="2:15" ht="11.25">
      <c r="B19" s="108"/>
      <c r="C19" s="108"/>
      <c r="D19" s="108"/>
      <c r="E19" s="108"/>
      <c r="F19" s="108"/>
      <c r="K19" s="108"/>
      <c r="L19" s="108"/>
      <c r="O19" s="108"/>
    </row>
    <row r="20" spans="1:15" ht="11.25">
      <c r="A20" s="111"/>
      <c r="K20" s="108"/>
      <c r="L20" s="108"/>
      <c r="O20" s="108"/>
    </row>
    <row r="21" spans="1:15" ht="11.25">
      <c r="A21" s="111"/>
      <c r="K21" s="108"/>
      <c r="L21" s="108"/>
      <c r="O21" s="108"/>
    </row>
    <row r="22" spans="1:15" ht="11.25">
      <c r="A22" s="111"/>
      <c r="K22" s="108"/>
      <c r="L22" s="108"/>
      <c r="O22" s="108"/>
    </row>
    <row r="23" spans="1:11" ht="11.25">
      <c r="A23" s="111"/>
      <c r="D23" s="111"/>
      <c r="E23" s="111"/>
      <c r="K23" s="108"/>
    </row>
    <row r="24" spans="1:11" ht="11.25">
      <c r="A24" s="111"/>
      <c r="D24" s="111"/>
      <c r="E24" s="111"/>
      <c r="K24" s="108"/>
    </row>
    <row r="25" spans="1:11" ht="11.25">
      <c r="A25" s="111"/>
      <c r="D25" s="111"/>
      <c r="E25" s="111"/>
      <c r="K25" s="108"/>
    </row>
    <row r="26" spans="1:15" ht="11.25">
      <c r="A26" s="111"/>
      <c r="K26" s="108"/>
      <c r="L26" s="108"/>
      <c r="O26" s="108"/>
    </row>
    <row r="27" spans="1:15" ht="11.25">
      <c r="A27" s="111"/>
      <c r="K27" s="108"/>
      <c r="L27" s="108"/>
      <c r="O27" s="108"/>
    </row>
    <row r="28" spans="1:15" ht="11.25">
      <c r="A28" s="111"/>
      <c r="K28" s="108"/>
      <c r="L28" s="108"/>
      <c r="O28" s="108"/>
    </row>
    <row r="29" spans="1:15" ht="11.25">
      <c r="A29" s="112"/>
      <c r="K29" s="108"/>
      <c r="L29" s="108"/>
      <c r="O29" s="108"/>
    </row>
    <row r="31" ht="12.75">
      <c r="C31" s="113"/>
    </row>
    <row r="32" ht="12.75">
      <c r="C32" s="113"/>
    </row>
    <row r="33" ht="12.75">
      <c r="C33" s="113"/>
    </row>
    <row r="34" spans="2:15" ht="11.25">
      <c r="B34" s="112"/>
      <c r="C34" s="112"/>
      <c r="D34" s="112"/>
      <c r="E34" s="112"/>
      <c r="F34" s="112"/>
      <c r="K34" s="108"/>
      <c r="L34" s="108"/>
      <c r="O34" s="108"/>
    </row>
    <row r="35" spans="1:12" ht="12.75">
      <c r="A35" s="112"/>
      <c r="C35" s="113"/>
      <c r="D35" s="113"/>
      <c r="E35" s="113"/>
      <c r="F35" s="114"/>
      <c r="G35" s="113"/>
      <c r="H35" s="113"/>
      <c r="I35" s="113"/>
      <c r="J35" s="113"/>
      <c r="K35" s="113"/>
      <c r="L35" s="108"/>
    </row>
    <row r="36" spans="1:11" ht="12.75">
      <c r="A36" s="112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3:11" ht="12.75">
      <c r="C37" s="113"/>
      <c r="D37" s="113"/>
      <c r="E37" s="113"/>
      <c r="F37" s="113"/>
      <c r="G37" s="113"/>
      <c r="H37" s="113"/>
      <c r="I37" s="113"/>
      <c r="J37" s="113"/>
      <c r="K37" s="113"/>
    </row>
    <row r="40" spans="3:11" ht="12.75">
      <c r="C40" s="113"/>
      <c r="D40" s="113"/>
      <c r="E40" s="113"/>
      <c r="F40" s="113"/>
      <c r="G40" s="113"/>
      <c r="H40" s="113"/>
      <c r="I40" s="113"/>
      <c r="J40" s="113"/>
      <c r="K40" s="113"/>
    </row>
    <row r="41" spans="3:11" ht="12.75">
      <c r="C41" s="113"/>
      <c r="D41" s="113"/>
      <c r="E41" s="113"/>
      <c r="F41" s="113"/>
      <c r="G41" s="113"/>
      <c r="H41" s="113"/>
      <c r="I41" s="113"/>
      <c r="J41" s="113"/>
      <c r="K41" s="113"/>
    </row>
    <row r="42" spans="3:11" ht="12.75"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2:14" ht="15">
      <c r="L43" s="272"/>
      <c r="M43" s="272"/>
      <c r="N43" s="272"/>
    </row>
  </sheetData>
  <sheetProtection/>
  <mergeCells count="11">
    <mergeCell ref="J6:K6"/>
    <mergeCell ref="J7:K7"/>
    <mergeCell ref="L43:N43"/>
    <mergeCell ref="A6:B6"/>
    <mergeCell ref="A7:B7"/>
    <mergeCell ref="M6:N6"/>
    <mergeCell ref="M7:N7"/>
    <mergeCell ref="D6:E6"/>
    <mergeCell ref="D7:E7"/>
    <mergeCell ref="G6:H6"/>
    <mergeCell ref="G7:H7"/>
  </mergeCells>
  <printOptions horizontalCentered="1"/>
  <pageMargins left="0.5" right="0.3" top="1" bottom="1" header="0.5" footer="0.5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00390625" defaultRowHeight="15.75"/>
  <cols>
    <col min="1" max="4" width="10.00390625" style="81" customWidth="1"/>
    <col min="5" max="6" width="10.875" style="81" customWidth="1"/>
    <col min="7" max="8" width="10.00390625" style="81" customWidth="1"/>
    <col min="9" max="9" width="10.875" style="81" customWidth="1"/>
    <col min="10" max="16384" width="10.00390625" style="81" customWidth="1"/>
  </cols>
  <sheetData>
    <row r="1" ht="15">
      <c r="B1" s="91" t="s">
        <v>128</v>
      </c>
    </row>
    <row r="2" spans="5:8" ht="15">
      <c r="E2" s="92"/>
      <c r="F2" s="90"/>
      <c r="H2" s="90"/>
    </row>
    <row r="3" spans="5:8" ht="15">
      <c r="E3" s="92"/>
      <c r="F3" s="90"/>
      <c r="H3" s="90"/>
    </row>
    <row r="4" spans="5:8" ht="15">
      <c r="E4" s="92"/>
      <c r="F4" s="90"/>
      <c r="H4" s="90"/>
    </row>
    <row r="5" spans="5:8" ht="15">
      <c r="E5" s="92"/>
      <c r="F5" s="90"/>
      <c r="H5" s="90"/>
    </row>
    <row r="6" spans="5:8" ht="15">
      <c r="E6" s="92"/>
      <c r="F6" s="90"/>
      <c r="H6" s="90"/>
    </row>
    <row r="7" spans="8:9" ht="15">
      <c r="H7" s="90"/>
      <c r="I7" s="90"/>
    </row>
    <row r="8" ht="15">
      <c r="H8" s="90"/>
    </row>
    <row r="9" spans="1:4" ht="15">
      <c r="A9" s="90"/>
      <c r="C9" s="90" t="s">
        <v>125</v>
      </c>
      <c r="D9" s="90" t="s">
        <v>127</v>
      </c>
    </row>
    <row r="10" spans="3:4" ht="15">
      <c r="C10" s="90" t="s">
        <v>124</v>
      </c>
      <c r="D10" s="90" t="s">
        <v>126</v>
      </c>
    </row>
    <row r="11" spans="1:4" ht="15">
      <c r="A11" s="90"/>
      <c r="C11" s="90"/>
      <c r="D11" s="90"/>
    </row>
    <row r="12" spans="3:4" ht="15">
      <c r="C12" s="90"/>
      <c r="D12" s="9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Patrick Clark</cp:lastModifiedBy>
  <cp:lastPrinted>2018-01-26T15:35:36Z</cp:lastPrinted>
  <dcterms:created xsi:type="dcterms:W3CDTF">1997-02-25T19:32:14Z</dcterms:created>
  <dcterms:modified xsi:type="dcterms:W3CDTF">2021-05-07T15:01:09Z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0x0101009571625A4492F547A78F4AC4C600C3A6</vt:lpwstr>
  </property>
  <property fmtid="{D5CDD505-2E9C-101B-9397-08002B2CF9AE}" pid="3" name="MigrationWizIdPermissionLevels">
    <vt:lpwstr/>
  </property>
  <property fmtid="{D5CDD505-2E9C-101B-9397-08002B2CF9AE}" pid="4" name="_ip_UnifiedCompliancePolicyUIAction">
    <vt:lpwstr/>
  </property>
  <property fmtid="{D5CDD505-2E9C-101B-9397-08002B2CF9AE}" pid="5" name="MigrationWizId">
    <vt:lpwstr/>
  </property>
  <property fmtid="{D5CDD505-2E9C-101B-9397-08002B2CF9AE}" pid="6" name="MigrationWizIdPermissions">
    <vt:lpwstr/>
  </property>
  <property fmtid="{D5CDD505-2E9C-101B-9397-08002B2CF9AE}" pid="7" name="_ip_UnifiedCompliancePolicyProperties">
    <vt:lpwstr/>
  </property>
  <property fmtid="{D5CDD505-2E9C-101B-9397-08002B2CF9AE}" pid="8" name="MigrationWizIdSecurityGroups">
    <vt:lpwstr/>
  </property>
  <property fmtid="{D5CDD505-2E9C-101B-9397-08002B2CF9AE}" pid="9" name="MigrationWizIdDocumentLibraryPermissions">
    <vt:lpwstr/>
  </property>
</Properties>
</file>