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85" tabRatio="784" activeTab="6"/>
  </bookViews>
  <sheets>
    <sheet name="Instructions " sheetId="1" r:id="rId1"/>
    <sheet name="1 Year" sheetId="2" r:id="rId2"/>
    <sheet name="2 Year" sheetId="3" r:id="rId3"/>
    <sheet name="3 Year" sheetId="4" r:id="rId4"/>
    <sheet name="4 Year" sheetId="5" r:id="rId5"/>
    <sheet name="5 Year" sheetId="6" r:id="rId6"/>
    <sheet name="RATES-Non Fed" sheetId="7" r:id="rId7"/>
    <sheet name="Salary Inflation" sheetId="8" r:id="rId8"/>
    <sheet name="NIH sal cap info" sheetId="9" r:id="rId9"/>
    <sheet name="PM Conversion Chart" sheetId="10" r:id="rId10"/>
    <sheet name="Ref" sheetId="11" r:id="rId11"/>
  </sheets>
  <externalReferences>
    <externalReference r:id="rId14"/>
    <externalReference r:id="rId15"/>
  </externalReferences>
  <definedNames>
    <definedName name="_xlfn.DAYS" hidden="1">#NAME?</definedName>
    <definedName name="APPTS">'Ref'!$C$9:$C$12</definedName>
    <definedName name="CombDirectTotal">#REF!</definedName>
    <definedName name="CombIndirect" localSheetId="8">#REF!</definedName>
    <definedName name="CombIndirect">'[1]CHKLST'!#REF!</definedName>
    <definedName name="FirstAltTotal">#REF!</definedName>
    <definedName name="FirstConsultTotal">#REF!</definedName>
    <definedName name="FirstEquipTotal">#REF!</definedName>
    <definedName name="FirstIndirect">#REF!</definedName>
    <definedName name="FirstInptTotal">#REF!</definedName>
    <definedName name="FirstOtrTotal">#REF!</definedName>
    <definedName name="FirstOutptTotal">#REF!</definedName>
    <definedName name="FirstPersonTotal">#REF!</definedName>
    <definedName name="FirstSubcDirect">#REF!</definedName>
    <definedName name="FirstSubcIDC">#REF!</definedName>
    <definedName name="FirstSubtotal">#REF!</definedName>
    <definedName name="FirstSupplTotal">#REF!</definedName>
    <definedName name="FirstTotalDirect">#REF!</definedName>
    <definedName name="FirstTravTotal">#REF!</definedName>
    <definedName name="_xlnm.Print_Area" localSheetId="1">'1 Year'!$A$1:$O$88</definedName>
    <definedName name="_xlnm.Print_Area" localSheetId="2">'2 Year'!$A$1:$P$89</definedName>
    <definedName name="_xlnm.Print_Area" localSheetId="3">'3 Year'!$A$1:$S$87</definedName>
    <definedName name="_xlnm.Print_Area" localSheetId="4">'4 Year'!$A$1:$W$88</definedName>
    <definedName name="_xlnm.Print_Area" localSheetId="5">'5 Year'!$A$1:$Y$88</definedName>
    <definedName name="_xlnm.Print_Area" localSheetId="8">'NIH sal cap info'!$A$1:$I$38</definedName>
    <definedName name="_xlnm.Print_Area" localSheetId="9">'PM Conversion Chart'!$A$1:$N$43</definedName>
    <definedName name="Print_Area_MI">#REF!</definedName>
    <definedName name="Print_Titles_MI" localSheetId="8">#REF!</definedName>
    <definedName name="Print_Titles_MI">'[1]FACE'!#REF!</definedName>
    <definedName name="PRSALARY">#REF!</definedName>
    <definedName name="Year1Sub">#REF!</definedName>
    <definedName name="Year2Inc">'[2]Ref'!$C$4</definedName>
    <definedName name="Year2Sub">#REF!</definedName>
    <definedName name="Year3Inc">'[2]Ref'!$C$5</definedName>
    <definedName name="Year3Sub">#REF!</definedName>
    <definedName name="Year4Inc">'[2]Ref'!$C$6</definedName>
    <definedName name="Year4Sub">#REF!</definedName>
    <definedName name="Year5Inc">'[2]Ref'!$C$7</definedName>
    <definedName name="Year5Sub">#REF!</definedName>
  </definedNames>
  <calcPr fullCalcOnLoad="1"/>
</workbook>
</file>

<file path=xl/comments2.xml><?xml version="1.0" encoding="utf-8"?>
<comments xmlns="http://schemas.openxmlformats.org/spreadsheetml/2006/main">
  <authors>
    <author>OSP-West</author>
  </authors>
  <commentList>
    <comment ref="D16" authorId="0">
      <text>
        <r>
          <rPr>
            <sz val="10"/>
            <rFont val="Tahoma"/>
            <family val="2"/>
          </rPr>
          <t>College of Medicine faculty are primarily on 52 week appointments and are not eligble for Recess (Extra Comp) pay.</t>
        </r>
      </text>
    </comment>
    <comment ref="C58" authorId="0">
      <text>
        <r>
          <rPr>
            <sz val="10"/>
            <rFont val="Tahoma"/>
            <family val="2"/>
          </rPr>
          <t xml:space="preserve">Based on recent rate increases we suggest that a 3% per year inflation factor be used to project future tuition rates. </t>
        </r>
      </text>
    </comment>
    <comment ref="D20"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List>
</comments>
</file>

<file path=xl/comments3.xml><?xml version="1.0" encoding="utf-8"?>
<comments xmlns="http://schemas.openxmlformats.org/spreadsheetml/2006/main">
  <authors>
    <author>OSP-West</author>
  </authors>
  <commentList>
    <comment ref="C58" authorId="0">
      <text>
        <r>
          <rPr>
            <sz val="10"/>
            <rFont val="Tahoma"/>
            <family val="2"/>
          </rPr>
          <t xml:space="preserve">Based on recent rate increases we suggest that a 3% per year inflation factor be used to project future tuition rates. </t>
        </r>
      </text>
    </comment>
    <comment ref="D17"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4.xml><?xml version="1.0" encoding="utf-8"?>
<comments xmlns="http://schemas.openxmlformats.org/spreadsheetml/2006/main">
  <authors>
    <author>OSP-West</author>
  </authors>
  <commentList>
    <comment ref="C57" authorId="0">
      <text>
        <r>
          <rPr>
            <sz val="10"/>
            <rFont val="Tahoma"/>
            <family val="2"/>
          </rPr>
          <t xml:space="preserve">Based on recent rate increases we suggest that a 3% per year inflation factor be used to project future tuition rates. </t>
        </r>
      </text>
    </comment>
    <comment ref="D17"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5.xml><?xml version="1.0" encoding="utf-8"?>
<comments xmlns="http://schemas.openxmlformats.org/spreadsheetml/2006/main">
  <authors>
    <author>OSP-West</author>
  </authors>
  <commentList>
    <comment ref="C58" authorId="0">
      <text>
        <r>
          <rPr>
            <sz val="10"/>
            <rFont val="Tahoma"/>
            <family val="2"/>
          </rPr>
          <t xml:space="preserve">Based on recent rate increases we suggest that a 3% per year inflation factor be used to project future tuition rates. </t>
        </r>
      </text>
    </comment>
    <comment ref="D17"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6.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 ref="C58"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List>
</comments>
</file>

<file path=xl/comments9.xml><?xml version="1.0" encoding="utf-8"?>
<comments xmlns="http://schemas.openxmlformats.org/spreadsheetml/2006/main">
  <authors>
    <author>stephedd</author>
  </authors>
  <commentList>
    <comment ref="A4" authorId="0">
      <text>
        <r>
          <rPr>
            <b/>
            <sz val="10"/>
            <rFont val="Tahoma"/>
            <family val="2"/>
          </rPr>
          <t>Award start date: 10/98-9/99
Effort after 12/31/99</t>
        </r>
      </text>
    </comment>
    <comment ref="A7" authorId="0">
      <text>
        <r>
          <rPr>
            <b/>
            <sz val="10"/>
            <rFont val="Tahoma"/>
            <family val="2"/>
          </rPr>
          <t xml:space="preserve">Award start date: 10/99-09/00
Effort between 10/99 - 12/99
</t>
        </r>
      </text>
    </comment>
    <comment ref="A8" authorId="0">
      <text>
        <r>
          <rPr>
            <b/>
            <sz val="10"/>
            <rFont val="Tahoma"/>
            <family val="2"/>
          </rPr>
          <t>Award start date: 10/99-9/00
Effort after 12/31/99</t>
        </r>
      </text>
    </comment>
    <comment ref="A9" authorId="0">
      <text>
        <r>
          <rPr>
            <b/>
            <sz val="10"/>
            <rFont val="Tahoma"/>
            <family val="2"/>
          </rPr>
          <t xml:space="preserve">Award start date: 10/00-09/01
Effort between 10/01 - 12/01
</t>
        </r>
      </text>
    </comment>
    <comment ref="A11" authorId="0">
      <text>
        <r>
          <rPr>
            <b/>
            <sz val="10"/>
            <rFont val="Tahoma"/>
            <family val="2"/>
          </rPr>
          <t>Award start date: 10/00-9/01
Effort between 
10/31/00-12/31/00</t>
        </r>
      </text>
    </comment>
    <comment ref="A12" authorId="0">
      <text>
        <r>
          <rPr>
            <b/>
            <sz val="10"/>
            <rFont val="Tahoma"/>
            <family val="2"/>
          </rPr>
          <t>Award start date: 10/00-09/01
Effort after 12/31/00</t>
        </r>
      </text>
    </comment>
  </commentList>
</comments>
</file>

<file path=xl/sharedStrings.xml><?xml version="1.0" encoding="utf-8"?>
<sst xmlns="http://schemas.openxmlformats.org/spreadsheetml/2006/main" count="894" uniqueCount="279">
  <si>
    <t>Grants / Contracts</t>
  </si>
  <si>
    <t xml:space="preserve"> </t>
  </si>
  <si>
    <t xml:space="preserve">Sponsoring Agency : </t>
  </si>
  <si>
    <t xml:space="preserve">Titled : </t>
  </si>
  <si>
    <t xml:space="preserve">Principal Investigator : </t>
  </si>
  <si>
    <t xml:space="preserve">Period : </t>
  </si>
  <si>
    <t>thru</t>
  </si>
  <si>
    <t>YEAR 1</t>
  </si>
  <si>
    <t>CUMULATIVE</t>
  </si>
  <si>
    <t>A.</t>
  </si>
  <si>
    <t xml:space="preserve"> Salaries</t>
  </si>
  <si>
    <t>Senior Personnel</t>
  </si>
  <si>
    <t>% Effort</t>
  </si>
  <si>
    <t>Salary</t>
  </si>
  <si>
    <t>PI</t>
  </si>
  <si>
    <t>Co</t>
  </si>
  <si>
    <t xml:space="preserve">Senior Personnel Subtotal : </t>
  </si>
  <si>
    <t xml:space="preserve"> Other Personnel</t>
  </si>
  <si>
    <t>Graduate Students</t>
  </si>
  <si>
    <t>Undergrad Students</t>
  </si>
  <si>
    <t>Part-time Faculty/Staff</t>
  </si>
  <si>
    <t>Year 1</t>
  </si>
  <si>
    <t>Faculty</t>
  </si>
  <si>
    <t xml:space="preserve">Total Salaries and Fringe Benefits : </t>
  </si>
  <si>
    <t>D.</t>
  </si>
  <si>
    <t xml:space="preserve"> Equipment</t>
  </si>
  <si>
    <t>(list)</t>
  </si>
  <si>
    <t xml:space="preserve">Total Equipment : </t>
  </si>
  <si>
    <t>E.</t>
  </si>
  <si>
    <t xml:space="preserve"> Travel</t>
  </si>
  <si>
    <t xml:space="preserve">Domestic </t>
  </si>
  <si>
    <t xml:space="preserve">International </t>
  </si>
  <si>
    <t xml:space="preserve">Total Travel : </t>
  </si>
  <si>
    <t>G.</t>
  </si>
  <si>
    <t xml:space="preserve"> Supplies and Other Direct Costs</t>
  </si>
  <si>
    <t>Materials &amp; Supplies</t>
  </si>
  <si>
    <t>Publication Costs</t>
  </si>
  <si>
    <t>Consultant Services</t>
  </si>
  <si>
    <t>Other (Analytical Services/Instrument Use)</t>
  </si>
  <si>
    <t>Subcontracts       1)</t>
  </si>
  <si>
    <t>2)</t>
  </si>
  <si>
    <t xml:space="preserve">Total Supplies and Other Direct Costs : </t>
  </si>
  <si>
    <t xml:space="preserve">TOTAL DIRECT COSTS: </t>
  </si>
  <si>
    <t xml:space="preserve">Sub-Contract &lt;$25,000 1): </t>
  </si>
  <si>
    <t xml:space="preserve">Sub-Contract &lt;$25,000 2): </t>
  </si>
  <si>
    <t>Total  Cost</t>
  </si>
  <si>
    <t xml:space="preserve">Purpose of Grant / Contract : </t>
  </si>
  <si>
    <t>R</t>
  </si>
  <si>
    <t>(R = Research, I = Instruction, P = Public Service, S = Special Rate on Total Costs)</t>
  </si>
  <si>
    <t>Campus Status :</t>
  </si>
  <si>
    <t>C</t>
  </si>
  <si>
    <t>(C = On Campus, O = Off Campus)</t>
  </si>
  <si>
    <t>YEAR 2</t>
  </si>
  <si>
    <t>Year 2</t>
  </si>
  <si>
    <t>YEAR 3</t>
  </si>
  <si>
    <t>Year 3</t>
  </si>
  <si>
    <t>YEAR 4</t>
  </si>
  <si>
    <t>Year 4</t>
  </si>
  <si>
    <t>YEAR 5</t>
  </si>
  <si>
    <t>Year 5</t>
  </si>
  <si>
    <t xml:space="preserve">Budget Period : </t>
  </si>
  <si>
    <t>Fringe Benefit Rates</t>
  </si>
  <si>
    <t>Faculty (AAUP)</t>
  </si>
  <si>
    <t>NonExempt Staff (Bi-Weekly)</t>
  </si>
  <si>
    <t>Students (Grad and Undergrad)</t>
  </si>
  <si>
    <t>PRO-RATED RATES USED</t>
  </si>
  <si>
    <t>weight</t>
  </si>
  <si>
    <t>YEAR 6</t>
  </si>
  <si>
    <t>YEAR 7</t>
  </si>
  <si>
    <t>name</t>
  </si>
  <si>
    <t>Click on Rates worksheet</t>
  </si>
  <si>
    <t>The amount will automatically calculate  and be entered in the year 1 column</t>
  </si>
  <si>
    <t>Proceed to enter budget dollars for remainder of personnel</t>
  </si>
  <si>
    <t>Fringes will calculate automatically for you.</t>
  </si>
  <si>
    <t>Proceed to enter budget dollars for remainder of cost categories.</t>
  </si>
  <si>
    <t xml:space="preserve">If you are using a multi year budget you will notice in years 2 and beyond </t>
  </si>
  <si>
    <t>some of the fields are calculating automatically (4% increase)</t>
  </si>
  <si>
    <t>You may override any of those dollars by entering any number in the field.</t>
  </si>
  <si>
    <r>
      <t xml:space="preserve">Change the budget period </t>
    </r>
    <r>
      <rPr>
        <sz val="12"/>
        <color indexed="12"/>
        <rFont val="Times New Roman"/>
        <family val="1"/>
      </rPr>
      <t>dates</t>
    </r>
    <r>
      <rPr>
        <sz val="12"/>
        <rFont val="Times New Roman"/>
        <family val="0"/>
      </rPr>
      <t xml:space="preserve"> to coincide with your project period</t>
    </r>
  </si>
  <si>
    <r>
      <t>Click on the word</t>
    </r>
    <r>
      <rPr>
        <sz val="12"/>
        <color indexed="12"/>
        <rFont val="Times New Roman"/>
        <family val="1"/>
      </rPr>
      <t xml:space="preserve"> name </t>
    </r>
    <r>
      <rPr>
        <sz val="12"/>
        <rFont val="Times New Roman"/>
        <family val="0"/>
      </rPr>
      <t>next to Sponsoring Agency and enter your sponsor's name</t>
    </r>
  </si>
  <si>
    <r>
      <t xml:space="preserve">Click on the word </t>
    </r>
    <r>
      <rPr>
        <sz val="12"/>
        <color indexed="12"/>
        <rFont val="Times New Roman"/>
        <family val="1"/>
      </rPr>
      <t xml:space="preserve">name </t>
    </r>
    <r>
      <rPr>
        <sz val="12"/>
        <rFont val="Times New Roman"/>
        <family val="0"/>
      </rPr>
      <t>next to Title and enter the title of your project</t>
    </r>
  </si>
  <si>
    <r>
      <t xml:space="preserve">Your project start and end date should appear in </t>
    </r>
    <r>
      <rPr>
        <sz val="12"/>
        <color indexed="10"/>
        <rFont val="Times New Roman"/>
        <family val="1"/>
      </rPr>
      <t>red.</t>
    </r>
    <r>
      <rPr>
        <sz val="12"/>
        <rFont val="Times New Roman"/>
        <family val="0"/>
      </rPr>
      <t xml:space="preserve"> </t>
    </r>
  </si>
  <si>
    <r>
      <t xml:space="preserve"> They come from the </t>
    </r>
    <r>
      <rPr>
        <sz val="12"/>
        <color indexed="12"/>
        <rFont val="Times New Roman"/>
        <family val="1"/>
      </rPr>
      <t>dates</t>
    </r>
    <r>
      <rPr>
        <sz val="12"/>
        <rFont val="Times New Roman"/>
        <family val="0"/>
      </rPr>
      <t xml:space="preserve"> you entered on the Rates Worksheet</t>
    </r>
  </si>
  <si>
    <r>
      <t xml:space="preserve">Click on the second </t>
    </r>
    <r>
      <rPr>
        <sz val="12"/>
        <color indexed="12"/>
        <rFont val="Times New Roman"/>
        <family val="1"/>
      </rPr>
      <t xml:space="preserve">0% </t>
    </r>
    <r>
      <rPr>
        <sz val="12"/>
        <rFont val="Times New Roman"/>
        <family val="0"/>
      </rPr>
      <t>under effort and enter the percentage of time you will spend on the project during the recess year.</t>
    </r>
  </si>
  <si>
    <t>Exmpt Staff (Mnthly)/Non-AAUP Faculty</t>
  </si>
  <si>
    <t>Part-Time Faculty (&lt;65%)/Staff (&lt;80%)/Post Doc</t>
  </si>
  <si>
    <t>Exempt Staff (Monthly)</t>
  </si>
  <si>
    <t>Post Doctoral Support</t>
  </si>
  <si>
    <t>Non-Exempt Staff (Bi-Weekly)</t>
  </si>
  <si>
    <t>P-T Fac(&lt;65%)/Staff(&lt;80%)&amp;Post Doc</t>
  </si>
  <si>
    <t xml:space="preserve">5 Year Budget </t>
  </si>
  <si>
    <t xml:space="preserve">Sub-Contract &lt;$25,000 3): </t>
  </si>
  <si>
    <t xml:space="preserve">Sub-Contract &lt;$25,000 4): </t>
  </si>
  <si>
    <t>3)</t>
  </si>
  <si>
    <t>4)</t>
  </si>
  <si>
    <t>Step 1:  MANDATORY</t>
  </si>
  <si>
    <t>Fringe Benefit Base for Project Period</t>
  </si>
  <si>
    <t>Year 6</t>
  </si>
  <si>
    <t>Year 7</t>
  </si>
  <si>
    <t>App't Type</t>
  </si>
  <si>
    <t>UC Tuition rates (Not Subject to Indirect)</t>
  </si>
  <si>
    <t xml:space="preserve">Instructions for Federal projects </t>
  </si>
  <si>
    <t>Click on the worksheet that agrees with the number years you are requesting the sponsor to fund</t>
  </si>
  <si>
    <r>
      <t xml:space="preserve">Click on the word </t>
    </r>
    <r>
      <rPr>
        <sz val="12"/>
        <color indexed="12"/>
        <rFont val="Times New Roman"/>
        <family val="1"/>
      </rPr>
      <t xml:space="preserve">name </t>
    </r>
    <r>
      <rPr>
        <sz val="12"/>
        <rFont val="Times New Roman"/>
        <family val="0"/>
      </rPr>
      <t xml:space="preserve">next to Principal Investigator (PI) and the PI's name </t>
    </r>
  </si>
  <si>
    <t>The appropriate salary increases for the same % of effort in subsequent years are automatically calculated in the spreadsheet.</t>
  </si>
  <si>
    <t>The recess base salary will be calculated automatically</t>
  </si>
  <si>
    <t>The amount will automatically calculate and be entered in the year 1 column</t>
  </si>
  <si>
    <r>
      <t>Enter the</t>
    </r>
    <r>
      <rPr>
        <sz val="12"/>
        <color indexed="12"/>
        <rFont val="Times New Roman"/>
        <family val="1"/>
      </rPr>
      <t xml:space="preserve"> </t>
    </r>
    <r>
      <rPr>
        <sz val="12"/>
        <rFont val="Times New Roman"/>
        <family val="1"/>
      </rPr>
      <t>name</t>
    </r>
    <r>
      <rPr>
        <sz val="12"/>
        <rFont val="Times New Roman"/>
        <family val="0"/>
      </rPr>
      <t xml:space="preserve"> of the Co-PI</t>
    </r>
  </si>
  <si>
    <t>If the Co-PI is on a 32 week appointment and eligible for Extra Compensation enter the percentage of time the CoPI will spend on the project during the recess period.</t>
  </si>
  <si>
    <t>Enter the percentage of time the Co PI will spend on the project during the academic period.</t>
  </si>
  <si>
    <r>
      <t xml:space="preserve">Click on the </t>
    </r>
    <r>
      <rPr>
        <sz val="12"/>
        <color indexed="12"/>
        <rFont val="Times New Roman"/>
        <family val="1"/>
      </rPr>
      <t xml:space="preserve">0% </t>
    </r>
    <r>
      <rPr>
        <sz val="12"/>
        <rFont val="Times New Roman"/>
        <family val="0"/>
      </rPr>
      <t>under effort and enter the percentage of time you will spend on the project during the academic period.</t>
    </r>
  </si>
  <si>
    <t>Add additional Co-PIs as appropriate</t>
  </si>
  <si>
    <t>Do not override any fringe or indirect cost entries</t>
  </si>
  <si>
    <t>Determine if the CoPI(s) are on a 32 week (aka 9 month or academic year) or 12 month appointment (most College of Medicine faculty are on a 12 month appointment). Use the appropriate line(s) in Senior Personnel section for their type of Appointment.</t>
  </si>
  <si>
    <t xml:space="preserve">Facilities and Administrative Costs Calculation: </t>
  </si>
  <si>
    <t>Facilities and Administrative Cost Base:</t>
  </si>
  <si>
    <t xml:space="preserve">Total F&amp;A Cost : </t>
  </si>
  <si>
    <t xml:space="preserve">F&amp;A Cost (on MTDC): </t>
  </si>
  <si>
    <t>Facilities and Administrative Data</t>
  </si>
  <si>
    <t>Name</t>
  </si>
  <si>
    <t>Total Exempt Staff</t>
  </si>
  <si>
    <t>PM</t>
  </si>
  <si>
    <t>CAL</t>
  </si>
  <si>
    <t>ACAD</t>
  </si>
  <si>
    <t>Calendar</t>
  </si>
  <si>
    <t>Academic</t>
  </si>
  <si>
    <t>Please DO NOT change any information on this sheet.</t>
  </si>
  <si>
    <t>Effective Dates</t>
  </si>
  <si>
    <t>NIH Annual Limitation</t>
  </si>
  <si>
    <t>Limitation Based on 9 Month Appt.</t>
  </si>
  <si>
    <t xml:space="preserve">o  October 1, 1998 through December 31, 1999 </t>
  </si>
  <si>
    <t>NIH1</t>
  </si>
  <si>
    <t>o  January 1, 2000 and beyond</t>
  </si>
  <si>
    <t>FY 2000 Awards  (Executive Level II)</t>
  </si>
  <si>
    <t>NIH2</t>
  </si>
  <si>
    <t>o  October 1, 1999 through December 31, 1999</t>
  </si>
  <si>
    <t>NIH3</t>
  </si>
  <si>
    <t>NIH4</t>
  </si>
  <si>
    <t>FY 2001 Awards  (Executive Level I)</t>
  </si>
  <si>
    <t>NIH5</t>
  </si>
  <si>
    <t>o  October 1, 2000 through December 31, 2000</t>
  </si>
  <si>
    <t>NIH6</t>
  </si>
  <si>
    <t>o  January 1, 2001 though December 31, 2001</t>
  </si>
  <si>
    <t>NIH7</t>
  </si>
  <si>
    <t>o  January 1, 2002 through December 31, 2002</t>
  </si>
  <si>
    <t>NIH8</t>
  </si>
  <si>
    <t>o  January 1, 2003 through December 31, 2003</t>
  </si>
  <si>
    <t>NIH9</t>
  </si>
  <si>
    <t>o  January 1, 2004 - March 3, 2004</t>
  </si>
  <si>
    <t>o  March 2, 2004 through December 31, 2004</t>
  </si>
  <si>
    <t>NIH10</t>
  </si>
  <si>
    <t xml:space="preserve">o  January 1, 2005 and beyond </t>
  </si>
  <si>
    <t>NIH11</t>
  </si>
  <si>
    <t xml:space="preserve">o  January 1, 2006 and beyond </t>
  </si>
  <si>
    <t>NIH12</t>
  </si>
  <si>
    <t xml:space="preserve">o  January 1, 2007 and beyond </t>
  </si>
  <si>
    <t xml:space="preserve">The typical appointment for non-Medical College faculty is 32 weeks, usually referred to as "9 month" or "academic year". Per the AAUP agreement they may also earn an additional 14 weeks of salary during their recess period, typically the summer quarter. </t>
  </si>
  <si>
    <t>Enter 32 week salary base here</t>
  </si>
  <si>
    <t>recess period base</t>
  </si>
  <si>
    <t>Percent of Time &amp; Effort to Person Months (PM)</t>
  </si>
  <si>
    <t>Interactive Conversion Table for the University of Cincinnati</t>
  </si>
  <si>
    <t>EXC</t>
  </si>
  <si>
    <t>9 Month</t>
  </si>
  <si>
    <t>12 Month</t>
  </si>
  <si>
    <t>Recess</t>
  </si>
  <si>
    <t>Academic Year</t>
  </si>
  <si>
    <t>Calendar Year</t>
  </si>
  <si>
    <t xml:space="preserve">  % effort </t>
  </si>
  <si>
    <t xml:space="preserve">         PM</t>
  </si>
  <si>
    <t xml:space="preserve"> % effort</t>
  </si>
  <si>
    <t xml:space="preserve">  % effort</t>
  </si>
  <si>
    <t xml:space="preserve">        PM</t>
  </si>
  <si>
    <t>Instructions:</t>
  </si>
  <si>
    <t>To use the chart simply insert the percent effort that you want to convert into the -0- of the Recess % effort line and</t>
  </si>
  <si>
    <t>hit enter.  The person month 9 and 12 will be displayed simultaneously.</t>
  </si>
  <si>
    <t xml:space="preserve">Special F&amp;A Rate : </t>
  </si>
  <si>
    <t>Go to the "Indirect Data" section at the bottom of the worksheet and enter the indirect data relative to your project</t>
  </si>
  <si>
    <t>Change the letters/numbers in blue as appropriate</t>
  </si>
  <si>
    <t>Return to Row 4</t>
  </si>
  <si>
    <t xml:space="preserve">Academic and Recess cap together </t>
  </si>
  <si>
    <t>Sal</t>
  </si>
  <si>
    <t>FB</t>
  </si>
  <si>
    <t>Total</t>
  </si>
  <si>
    <t>Sub Totals</t>
  </si>
  <si>
    <t xml:space="preserve">4 Year Budget </t>
  </si>
  <si>
    <t xml:space="preserve">3 Year Budget </t>
  </si>
  <si>
    <t xml:space="preserve">2 Year Budget </t>
  </si>
  <si>
    <t xml:space="preserve">1 Year Budget </t>
  </si>
  <si>
    <t>LAM</t>
  </si>
  <si>
    <t>Indirect Cost Rates (on Campus)</t>
  </si>
  <si>
    <t>Research Indirect Costs</t>
  </si>
  <si>
    <t>Instruction Indirect Costs</t>
  </si>
  <si>
    <t>Public Service Indirect Costs</t>
  </si>
  <si>
    <t>Indirect Cost Rates (off Campus)</t>
  </si>
  <si>
    <t>Research F&amp;A</t>
  </si>
  <si>
    <t>Instruction F&amp;A</t>
  </si>
  <si>
    <t>PS F&amp;A</t>
  </si>
  <si>
    <t>Detailed F&amp;A figures for prorated rates</t>
  </si>
  <si>
    <t>*If both lines have the same rate, then just list as one line on forms.</t>
  </si>
  <si>
    <t>Indirect Cost Rates (off Campus &amp; for Sub-Contracts $25,000 or less)</t>
  </si>
  <si>
    <t>Recess Cap</t>
  </si>
  <si>
    <t>`</t>
  </si>
  <si>
    <t>FY21</t>
  </si>
  <si>
    <t>o  January 1, 2009 to December 31, 2009</t>
  </si>
  <si>
    <t>o  January 1, 2010 to December 23, 2011</t>
  </si>
  <si>
    <t>o  January 1, 2008 to December 31, 2008</t>
  </si>
  <si>
    <t>o  January 12, 2014 to January 10, 2015</t>
  </si>
  <si>
    <t>FY22</t>
  </si>
  <si>
    <t>DHHS Salary Caps</t>
  </si>
  <si>
    <t>o  December 24, 2011 to January 11, 2014</t>
  </si>
  <si>
    <t>FY23</t>
  </si>
  <si>
    <t>7/21-6/22</t>
  </si>
  <si>
    <t>7/22-6/23</t>
  </si>
  <si>
    <t>FY24</t>
  </si>
  <si>
    <t>Exmpt Staff (Mnthly)/</t>
  </si>
  <si>
    <t>Dual Comp Faculty</t>
  </si>
  <si>
    <t>7/23-6/24</t>
  </si>
  <si>
    <t>B</t>
  </si>
  <si>
    <t>Dual Compensation Faculty</t>
  </si>
  <si>
    <t>C.</t>
  </si>
  <si>
    <t>AAUP Faculty</t>
  </si>
  <si>
    <t xml:space="preserve">AAUP Faculty Subtotal : </t>
  </si>
  <si>
    <t xml:space="preserve">Dual Comp Faculty Subtotal : </t>
  </si>
  <si>
    <t>o  January 8, 2017 to January 6, 2018</t>
  </si>
  <si>
    <t>FY25</t>
  </si>
  <si>
    <t>7/24-6/25</t>
  </si>
  <si>
    <t>o  January 7, 2018 and January 5, 2019</t>
  </si>
  <si>
    <t>o  January 6, 2019 to January 4, 2020</t>
  </si>
  <si>
    <t>o  January 11, 2015 to January 09, 2016</t>
  </si>
  <si>
    <t>FY26</t>
  </si>
  <si>
    <t>7/25-6/26</t>
  </si>
  <si>
    <t>o  January 5, 2020 to January 2, 2021</t>
  </si>
  <si>
    <t>o  January 3, 2021 and Beyond</t>
  </si>
  <si>
    <t>Last Revised: 5/7/21</t>
  </si>
  <si>
    <t>FY27</t>
  </si>
  <si>
    <t>7/26-6/27</t>
  </si>
  <si>
    <t>Row Value</t>
  </si>
  <si>
    <t>Starting Year Calculation</t>
  </si>
  <si>
    <t>7/20-6/21</t>
  </si>
  <si>
    <t>Faculty (ACAD)</t>
  </si>
  <si>
    <t>Faculty (SUMR)</t>
  </si>
  <si>
    <t>Click on the first "-" under salary and enter the current base salary per UCFlex. The spreadsheet will calculate the appropriate base for the start date of the award based on inflation factors</t>
  </si>
  <si>
    <t>Inflation Factors</t>
  </si>
  <si>
    <t>Employee Type</t>
  </si>
  <si>
    <t>Administrative</t>
  </si>
  <si>
    <t>Support Staff</t>
  </si>
  <si>
    <t>Research Staff</t>
  </si>
  <si>
    <t>Students</t>
  </si>
  <si>
    <t>Start Date</t>
  </si>
  <si>
    <t>Increase</t>
  </si>
  <si>
    <t>ACAD Faculty</t>
  </si>
  <si>
    <t>SUMR Faculty</t>
  </si>
  <si>
    <t>CAL Faculty</t>
  </si>
  <si>
    <t>Year 1 Fiscal Year days</t>
  </si>
  <si>
    <t>FY</t>
  </si>
  <si>
    <t>Days</t>
  </si>
  <si>
    <t>Type</t>
  </si>
  <si>
    <t>SUMR</t>
  </si>
  <si>
    <t>ACAD Inc</t>
  </si>
  <si>
    <t>SUMR Inc</t>
  </si>
  <si>
    <t>ACAD/SUMR Days Per Month</t>
  </si>
  <si>
    <t>Month</t>
  </si>
  <si>
    <t>ACAD/SUMR Increases</t>
  </si>
  <si>
    <t>NAV of Inc</t>
  </si>
  <si>
    <t>Value</t>
  </si>
  <si>
    <t>EE Type</t>
  </si>
  <si>
    <t>Year 1 Inc</t>
  </si>
  <si>
    <t>Year 2 Inc</t>
  </si>
  <si>
    <t>Year 3 Inc</t>
  </si>
  <si>
    <t>Year 4 Inc</t>
  </si>
  <si>
    <t>Year 5 Inc</t>
  </si>
  <si>
    <t>Ex Staff</t>
  </si>
  <si>
    <t>Dual Comp</t>
  </si>
  <si>
    <t>Dual Comp Fac</t>
  </si>
  <si>
    <t>Date - Y1</t>
  </si>
  <si>
    <t>Staff/Students</t>
  </si>
  <si>
    <t>Lab Expenses</t>
  </si>
  <si>
    <t>Subject Incentives</t>
  </si>
  <si>
    <t>Last Revised: 6/29/21</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</si>
</sst>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Red]\-General_)"/>
    <numFmt numFmtId="165" formatCode="mm/dd/yy_)"/>
    <numFmt numFmtId="166" formatCode="0.00%;[Red]\-0.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0.0%"/>
    <numFmt numFmtId="172" formatCode="0.0000%"/>
    <numFmt numFmtId="173" formatCode="0.000%"/>
    <numFmt numFmtId="174" formatCode="mm/dd/yy"/>
    <numFmt numFmtId="175" formatCode="mm/dd/yy\ h:mm"/>
    <numFmt numFmtId="176" formatCode="General_)"/>
    <numFmt numFmtId="177" formatCode="0.00_)"/>
    <numFmt numFmtId="178" formatCode="00"/>
    <numFmt numFmtId="179" formatCode="mm/dd/yy\ h:mm:ss"/>
    <numFmt numFmtId="180" formatCode="&quot;$&quot;#,##0"/>
    <numFmt numFmtId="181" formatCode="0.000"/>
    <numFmt numFmtId="182" formatCode="0.000_)"/>
    <numFmt numFmtId="183" formatCode="_(* #,##0.00000_);_(* \(#,##0.00000\);_(* &quot;-&quot;?????_);_(@_)"/>
    <numFmt numFmtId="184" formatCode="&quot;(&quot;\ &quot;$&quot;\ #,##0.00\ &quot;/ hour )&quot;"/>
    <numFmt numFmtId="185" formatCode="[$-409]dddd\,\ mmmm\ dd\,\ yyyy"/>
    <numFmt numFmtId="186" formatCode="mm/dd/yy;@"/>
    <numFmt numFmtId="187" formatCode="m/d/yy;@"/>
    <numFmt numFmtId="188" formatCode="&quot;Yes&quot;;&quot;Yes&quot;;&quot;No&quot;"/>
    <numFmt numFmtId="189" formatCode="&quot;True&quot;;&quot;True&quot;;&quot;False&quot;"/>
    <numFmt numFmtId="190" formatCode="&quot;On&quot;;&quot;On&quot;;&quot;Off&quot;"/>
    <numFmt numFmtId="191" formatCode="[$€-2]\ #,##0.00_);[Red]\([$€-2]\ #,##0.00\)"/>
    <numFmt numFmtId="192" formatCode="mmm\-yyyy"/>
    <numFmt numFmtId="193" formatCode="0.0_)"/>
    <numFmt numFmtId="194" formatCode="#,##0.0_);\(#,##0.0\)"/>
    <numFmt numFmtId="195" formatCode="0.0000000"/>
    <numFmt numFmtId="196" formatCode="0.000000"/>
    <numFmt numFmtId="197" formatCode="0.00000"/>
    <numFmt numFmtId="198" formatCode="0.0000"/>
    <numFmt numFmtId="199" formatCode="0.0"/>
    <numFmt numFmtId="200" formatCode="#,##0.0_);[Red]\(#,##0.0\)"/>
    <numFmt numFmtId="201" formatCode="[$-409]dddd\,\ mmmm\ d\,\ yyyy"/>
    <numFmt numFmtId="202" formatCode="[$-409]h:mm:ss\ AM/PM"/>
    <numFmt numFmtId="203" formatCode="0.00000%"/>
    <numFmt numFmtId="204" formatCode="0.000000%"/>
    <numFmt numFmtId="205" formatCode="_(&quot;$&quot;* #,##0.0000_);_(&quot;$&quot;* \(#,##0.0000\);_(&quot;$&quot;* &quot;-&quot;????_);_(@_)"/>
    <numFmt numFmtId="206" formatCode="0.0000000%"/>
  </numFmts>
  <fonts count="106">
    <font>
      <sz val="12"/>
      <name val="Times New Roman"/>
      <family val="0"/>
    </font>
    <font>
      <b/>
      <sz val="10"/>
      <name val="Arial"/>
      <family val="0"/>
    </font>
    <font>
      <i/>
      <sz val="10"/>
      <name val="Arial"/>
      <family val="0"/>
    </font>
    <font>
      <b/>
      <i/>
      <sz val="10"/>
      <name val="Arial"/>
      <family val="0"/>
    </font>
    <font>
      <sz val="10"/>
      <name val="Arial"/>
      <family val="2"/>
    </font>
    <font>
      <sz val="12"/>
      <color indexed="12"/>
      <name val="Times New Roman"/>
      <family val="1"/>
    </font>
    <font>
      <b/>
      <sz val="14"/>
      <name val="Times New Roman"/>
      <family val="1"/>
    </font>
    <font>
      <b/>
      <sz val="12"/>
      <name val="Times New Roman"/>
      <family val="1"/>
    </font>
    <font>
      <u val="single"/>
      <sz val="12"/>
      <name val="Times New Roman"/>
      <family val="1"/>
    </font>
    <font>
      <i/>
      <sz val="12"/>
      <name val="Times New Roman"/>
      <family val="1"/>
    </font>
    <font>
      <b/>
      <i/>
      <sz val="12"/>
      <name val="Times New Roman"/>
      <family val="1"/>
    </font>
    <font>
      <b/>
      <u val="single"/>
      <sz val="12"/>
      <name val="Times New Roman"/>
      <family val="1"/>
    </font>
    <font>
      <b/>
      <u val="single"/>
      <sz val="14"/>
      <name val="Times New Roman"/>
      <family val="1"/>
    </font>
    <font>
      <sz val="12"/>
      <name val="Arial"/>
      <family val="2"/>
    </font>
    <font>
      <b/>
      <sz val="12"/>
      <name val="Arial"/>
      <family val="2"/>
    </font>
    <font>
      <sz val="11"/>
      <name val="Times New Roman"/>
      <family val="1"/>
    </font>
    <font>
      <b/>
      <sz val="13"/>
      <name val="Arial"/>
      <family val="2"/>
    </font>
    <font>
      <sz val="11"/>
      <color indexed="12"/>
      <name val="Times New Roman"/>
      <family val="1"/>
    </font>
    <font>
      <sz val="12"/>
      <color indexed="10"/>
      <name val="Times New Roman"/>
      <family val="1"/>
    </font>
    <font>
      <i/>
      <sz val="12"/>
      <color indexed="12"/>
      <name val="Times New Roman"/>
      <family val="1"/>
    </font>
    <font>
      <sz val="10"/>
      <color indexed="12"/>
      <name val="Arial"/>
      <family val="2"/>
    </font>
    <font>
      <b/>
      <sz val="14"/>
      <color indexed="10"/>
      <name val="Times New Roman"/>
      <family val="1"/>
    </font>
    <font>
      <u val="single"/>
      <sz val="7.5"/>
      <color indexed="36"/>
      <name val="Courier"/>
      <family val="3"/>
    </font>
    <font>
      <u val="single"/>
      <sz val="7.5"/>
      <color indexed="12"/>
      <name val="Courier"/>
      <family val="3"/>
    </font>
    <font>
      <sz val="12"/>
      <name val="SWISS"/>
      <family val="0"/>
    </font>
    <font>
      <sz val="10"/>
      <name val="Tahoma"/>
      <family val="2"/>
    </font>
    <font>
      <i/>
      <sz val="14"/>
      <name val="Brush Script MT"/>
      <family val="4"/>
    </font>
    <font>
      <b/>
      <sz val="12"/>
      <color indexed="14"/>
      <name val="Arial"/>
      <family val="2"/>
    </font>
    <font>
      <sz val="12"/>
      <color indexed="8"/>
      <name val="Arial"/>
      <family val="2"/>
    </font>
    <font>
      <sz val="12"/>
      <color indexed="10"/>
      <name val="SWISS"/>
      <family val="0"/>
    </font>
    <font>
      <sz val="8"/>
      <name val="Times New Roman"/>
      <family val="1"/>
    </font>
    <font>
      <sz val="10"/>
      <name val="MS Sans Serif"/>
      <family val="2"/>
    </font>
    <font>
      <sz val="8"/>
      <name val="Courier"/>
      <family val="3"/>
    </font>
    <font>
      <b/>
      <u val="single"/>
      <sz val="12"/>
      <color indexed="56"/>
      <name val="Times New Roman"/>
      <family val="1"/>
    </font>
    <font>
      <b/>
      <sz val="12"/>
      <color indexed="56"/>
      <name val="Times New Roman"/>
      <family val="1"/>
    </font>
    <font>
      <b/>
      <sz val="12"/>
      <color indexed="50"/>
      <name val="Times New Roman"/>
      <family val="1"/>
    </font>
    <font>
      <b/>
      <sz val="12"/>
      <color indexed="8"/>
      <name val="Times New Roman"/>
      <family val="1"/>
    </font>
    <font>
      <b/>
      <sz val="12"/>
      <name val="Tahoma"/>
      <family val="2"/>
    </font>
    <font>
      <b/>
      <sz val="10"/>
      <name val="Tahoma"/>
      <family val="2"/>
    </font>
    <font>
      <sz val="9"/>
      <color indexed="20"/>
      <name val="Arial"/>
      <family val="2"/>
    </font>
    <font>
      <sz val="9"/>
      <name val="Arial"/>
      <family val="2"/>
    </font>
    <font>
      <u val="single"/>
      <sz val="9"/>
      <color indexed="20"/>
      <name val="Arial"/>
      <family val="2"/>
    </font>
    <font>
      <b/>
      <sz val="9"/>
      <name val="Arial"/>
      <family val="2"/>
    </font>
    <font>
      <b/>
      <sz val="9"/>
      <color indexed="10"/>
      <name val="Arial"/>
      <family val="2"/>
    </font>
    <font>
      <sz val="9"/>
      <name val="Times New Roman"/>
      <family val="1"/>
    </font>
    <font>
      <sz val="8"/>
      <name val="Arial"/>
      <family val="2"/>
    </font>
    <font>
      <b/>
      <sz val="10"/>
      <name val="Courier"/>
      <family val="3"/>
    </font>
    <font>
      <sz val="10"/>
      <name val="Courier"/>
      <family val="0"/>
    </font>
    <font>
      <b/>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10"/>
      <name val="Times New Roman"/>
      <family val="1"/>
    </font>
    <font>
      <sz val="12"/>
      <color indexed="10"/>
      <name val="Arial"/>
      <family val="2"/>
    </font>
    <font>
      <b/>
      <sz val="12"/>
      <color indexed="10"/>
      <name val="Arial"/>
      <family val="2"/>
    </font>
    <font>
      <b/>
      <sz val="13"/>
      <color indexed="10"/>
      <name val="Arial"/>
      <family val="2"/>
    </font>
    <font>
      <sz val="10"/>
      <color indexed="10"/>
      <name val="Arial"/>
      <family val="2"/>
    </font>
    <font>
      <sz val="12"/>
      <color indexed="17"/>
      <name val="Times New Roman"/>
      <family val="1"/>
    </font>
    <font>
      <sz val="12"/>
      <color indexed="17"/>
      <name val="Arial"/>
      <family val="2"/>
    </font>
    <font>
      <b/>
      <sz val="12"/>
      <color indexed="17"/>
      <name val="Times New Roman"/>
      <family val="1"/>
    </font>
    <font>
      <b/>
      <sz val="12"/>
      <color indexed="17"/>
      <name val="Arial"/>
      <family val="2"/>
    </font>
    <font>
      <b/>
      <sz val="13"/>
      <color indexed="17"/>
      <name val="Arial"/>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
      <sz val="12"/>
      <color rgb="FFFF0000"/>
      <name val="Arial"/>
      <family val="2"/>
    </font>
    <font>
      <b/>
      <sz val="12"/>
      <color rgb="FFFF0000"/>
      <name val="Arial"/>
      <family val="2"/>
    </font>
    <font>
      <b/>
      <sz val="13"/>
      <color rgb="FFFF0000"/>
      <name val="Arial"/>
      <family val="2"/>
    </font>
    <font>
      <sz val="10"/>
      <color rgb="FFFF0000"/>
      <name val="Arial"/>
      <family val="2"/>
    </font>
    <font>
      <sz val="12"/>
      <color rgb="FF006600"/>
      <name val="Times New Roman"/>
      <family val="1"/>
    </font>
    <font>
      <sz val="12"/>
      <color rgb="FF006600"/>
      <name val="Arial"/>
      <family val="2"/>
    </font>
    <font>
      <b/>
      <sz val="12"/>
      <color rgb="FF006600"/>
      <name val="Times New Roman"/>
      <family val="1"/>
    </font>
    <font>
      <b/>
      <sz val="12"/>
      <color rgb="FF006600"/>
      <name val="Arial"/>
      <family val="2"/>
    </font>
    <font>
      <b/>
      <sz val="13"/>
      <color rgb="FF006600"/>
      <name val="Arial"/>
      <family val="2"/>
    </font>
    <font>
      <sz val="10"/>
      <color rgb="FF006600"/>
      <name val="Arial"/>
      <family val="2"/>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4" fillId="0" borderId="0">
      <alignment/>
      <protection/>
    </xf>
    <xf numFmtId="41" fontId="4" fillId="0" borderId="0" applyFont="0" applyFill="0" applyBorder="0" applyAlignment="0" applyProtection="0"/>
    <xf numFmtId="43" fontId="4" fillId="0" borderId="0">
      <alignment/>
      <protection/>
    </xf>
    <xf numFmtId="40" fontId="31" fillId="0" borderId="0" applyFont="0" applyFill="0" applyBorder="0" applyAlignment="0" applyProtection="0"/>
    <xf numFmtId="40" fontId="31"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8" fontId="31" fillId="0" borderId="0" applyFont="0" applyFill="0" applyBorder="0" applyAlignment="0" applyProtection="0"/>
    <xf numFmtId="0" fontId="81" fillId="0" borderId="0" applyNumberFormat="0" applyFill="0" applyBorder="0" applyAlignment="0" applyProtection="0"/>
    <xf numFmtId="0" fontId="22"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3"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0" borderId="0">
      <alignment/>
      <protection/>
    </xf>
    <xf numFmtId="176" fontId="47" fillId="0" borderId="0">
      <alignment/>
      <protection/>
    </xf>
    <xf numFmtId="0" fontId="24" fillId="0" borderId="0">
      <alignment/>
      <protection/>
    </xf>
    <xf numFmtId="0" fontId="0" fillId="0" borderId="0">
      <alignment/>
      <protection/>
    </xf>
    <xf numFmtId="0" fontId="24" fillId="0" borderId="0">
      <alignment/>
      <protection/>
    </xf>
    <xf numFmtId="0" fontId="4" fillId="0" borderId="0">
      <alignment/>
      <protection/>
    </xf>
    <xf numFmtId="0" fontId="0" fillId="32" borderId="7" applyNumberFormat="0" applyFont="0" applyAlignment="0" applyProtection="0"/>
    <xf numFmtId="0" fontId="89" fillId="27"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49">
    <xf numFmtId="0" fontId="0" fillId="0" borderId="0" xfId="0" applyAlignment="1">
      <alignment/>
    </xf>
    <xf numFmtId="164" fontId="0" fillId="0" borderId="0" xfId="0" applyNumberFormat="1" applyAlignment="1" applyProtection="1">
      <alignment/>
      <protection/>
    </xf>
    <xf numFmtId="6" fontId="0" fillId="0" borderId="0" xfId="0" applyNumberFormat="1" applyAlignment="1" applyProtection="1">
      <alignment/>
      <protection/>
    </xf>
    <xf numFmtId="0" fontId="5" fillId="0" borderId="0" xfId="0" applyFont="1" applyAlignment="1" applyProtection="1">
      <alignment/>
      <protection locked="0"/>
    </xf>
    <xf numFmtId="165" fontId="0" fillId="0" borderId="0" xfId="0" applyNumberFormat="1" applyAlignment="1" applyProtection="1">
      <alignment/>
      <protection/>
    </xf>
    <xf numFmtId="38" fontId="0" fillId="0" borderId="0" xfId="0" applyNumberFormat="1" applyAlignment="1" applyProtection="1">
      <alignment/>
      <protection/>
    </xf>
    <xf numFmtId="37" fontId="0" fillId="0" borderId="0" xfId="0" applyNumberFormat="1" applyAlignment="1" applyProtection="1">
      <alignment/>
      <protection/>
    </xf>
    <xf numFmtId="166" fontId="0" fillId="0" borderId="0" xfId="0" applyNumberFormat="1" applyAlignment="1" applyProtection="1">
      <alignment/>
      <protection/>
    </xf>
    <xf numFmtId="5" fontId="0" fillId="0" borderId="0" xfId="0" applyNumberFormat="1" applyAlignment="1" applyProtection="1">
      <alignment/>
      <protection/>
    </xf>
    <xf numFmtId="10" fontId="5" fillId="0" borderId="0" xfId="0" applyNumberFormat="1" applyFont="1" applyAlignment="1" applyProtection="1">
      <alignment/>
      <protection locked="0"/>
    </xf>
    <xf numFmtId="0" fontId="5" fillId="0" borderId="0" xfId="0" applyFont="1" applyAlignment="1" applyProtection="1">
      <alignment horizontal="left"/>
      <protection locked="0"/>
    </xf>
    <xf numFmtId="6" fontId="0" fillId="0" borderId="0" xfId="0" applyNumberFormat="1" applyAlignment="1" applyProtection="1">
      <alignment horizontal="center"/>
      <protection/>
    </xf>
    <xf numFmtId="0" fontId="0" fillId="0" borderId="0" xfId="0" applyAlignment="1">
      <alignment horizontal="center"/>
    </xf>
    <xf numFmtId="164" fontId="0" fillId="0" borderId="0" xfId="0" applyNumberFormat="1" applyAlignment="1" applyProtection="1">
      <alignment horizontal="left"/>
      <protection/>
    </xf>
    <xf numFmtId="0" fontId="0" fillId="0" borderId="0" xfId="0" applyAlignment="1">
      <alignment horizontal="left"/>
    </xf>
    <xf numFmtId="0" fontId="5" fillId="0" borderId="0" xfId="0" applyFont="1" applyAlignment="1" applyProtection="1">
      <alignment horizontal="center"/>
      <protection locked="0"/>
    </xf>
    <xf numFmtId="6" fontId="0" fillId="0" borderId="0" xfId="0" applyNumberFormat="1" applyAlignment="1" applyProtection="1">
      <alignment horizontal="left"/>
      <protection/>
    </xf>
    <xf numFmtId="164" fontId="6" fillId="0" borderId="0" xfId="0" applyNumberFormat="1" applyFont="1" applyAlignment="1" applyProtection="1">
      <alignment horizontal="centerContinuous"/>
      <protection/>
    </xf>
    <xf numFmtId="164" fontId="0" fillId="0" borderId="0" xfId="0" applyNumberFormat="1" applyAlignment="1" applyProtection="1">
      <alignment horizontal="centerContinuous"/>
      <protection/>
    </xf>
    <xf numFmtId="6" fontId="0" fillId="0" borderId="0" xfId="0" applyNumberFormat="1" applyAlignment="1" applyProtection="1">
      <alignment horizontal="centerContinuous"/>
      <protection/>
    </xf>
    <xf numFmtId="0" fontId="7" fillId="0" borderId="0" xfId="0" applyFont="1" applyAlignment="1">
      <alignment horizontal="right"/>
    </xf>
    <xf numFmtId="164" fontId="7" fillId="0" borderId="0" xfId="0" applyNumberFormat="1" applyFont="1" applyAlignment="1" applyProtection="1">
      <alignment/>
      <protection/>
    </xf>
    <xf numFmtId="164" fontId="7" fillId="0" borderId="0" xfId="0" applyNumberFormat="1" applyFont="1" applyAlignment="1" applyProtection="1">
      <alignment horizontal="left"/>
      <protection/>
    </xf>
    <xf numFmtId="164" fontId="8" fillId="0" borderId="0" xfId="0" applyNumberFormat="1" applyFont="1" applyAlignment="1" applyProtection="1">
      <alignment horizontal="left"/>
      <protection/>
    </xf>
    <xf numFmtId="164" fontId="8" fillId="0" borderId="0" xfId="0" applyNumberFormat="1" applyFont="1" applyAlignment="1" applyProtection="1">
      <alignment/>
      <protection/>
    </xf>
    <xf numFmtId="164" fontId="9" fillId="0" borderId="0" xfId="0" applyNumberFormat="1" applyFont="1" applyAlignment="1" applyProtection="1">
      <alignment horizontal="right"/>
      <protection/>
    </xf>
    <xf numFmtId="164" fontId="9" fillId="0" borderId="0" xfId="0" applyNumberFormat="1" applyFont="1" applyAlignment="1" applyProtection="1">
      <alignment/>
      <protection/>
    </xf>
    <xf numFmtId="164" fontId="10" fillId="0" borderId="0" xfId="0" applyNumberFormat="1" applyFont="1" applyAlignment="1" applyProtection="1">
      <alignment horizontal="right"/>
      <protection/>
    </xf>
    <xf numFmtId="164" fontId="10" fillId="0" borderId="0" xfId="0" applyNumberFormat="1" applyFont="1" applyAlignment="1" applyProtection="1">
      <alignment/>
      <protection/>
    </xf>
    <xf numFmtId="37" fontId="7" fillId="0" borderId="0" xfId="0" applyNumberFormat="1" applyFont="1" applyAlignment="1" applyProtection="1">
      <alignment/>
      <protection/>
    </xf>
    <xf numFmtId="0" fontId="9" fillId="0" borderId="0" xfId="0" applyFont="1" applyAlignment="1">
      <alignment/>
    </xf>
    <xf numFmtId="0" fontId="7" fillId="0" borderId="0" xfId="0" applyFont="1" applyAlignment="1">
      <alignment/>
    </xf>
    <xf numFmtId="164" fontId="10" fillId="0" borderId="0" xfId="0" applyNumberFormat="1" applyFont="1" applyAlignment="1" applyProtection="1">
      <alignment horizontal="centerContinuous"/>
      <protection/>
    </xf>
    <xf numFmtId="164" fontId="11" fillId="0" borderId="0" xfId="0" applyNumberFormat="1" applyFont="1" applyAlignment="1" applyProtection="1">
      <alignment horizontal="left"/>
      <protection/>
    </xf>
    <xf numFmtId="38" fontId="7" fillId="0" borderId="0" xfId="0" applyNumberFormat="1" applyFont="1" applyAlignment="1" applyProtection="1">
      <alignment/>
      <protection/>
    </xf>
    <xf numFmtId="0" fontId="10" fillId="0" borderId="0" xfId="0" applyFont="1" applyAlignment="1">
      <alignment/>
    </xf>
    <xf numFmtId="0" fontId="11" fillId="0" borderId="0" xfId="0" applyFont="1" applyAlignment="1">
      <alignment horizontal="left"/>
    </xf>
    <xf numFmtId="5" fontId="0" fillId="0" borderId="0" xfId="0" applyNumberFormat="1" applyAlignment="1" applyProtection="1">
      <alignment horizontal="centerContinuous"/>
      <protection/>
    </xf>
    <xf numFmtId="6" fontId="6" fillId="0" borderId="0" xfId="0" applyNumberFormat="1" applyFont="1" applyAlignment="1" applyProtection="1">
      <alignment horizontal="left"/>
      <protection/>
    </xf>
    <xf numFmtId="164" fontId="7" fillId="0" borderId="0" xfId="0" applyNumberFormat="1" applyFont="1" applyAlignment="1" applyProtection="1">
      <alignment horizontal="centerContinuous"/>
      <protection/>
    </xf>
    <xf numFmtId="164" fontId="10" fillId="0" borderId="0" xfId="0" applyNumberFormat="1" applyFont="1" applyAlignment="1" applyProtection="1">
      <alignment horizontal="left"/>
      <protection/>
    </xf>
    <xf numFmtId="164" fontId="0" fillId="0" borderId="0" xfId="0" applyNumberFormat="1" applyAlignment="1" applyProtection="1">
      <alignment horizontal="center"/>
      <protection/>
    </xf>
    <xf numFmtId="168" fontId="13" fillId="0" borderId="0" xfId="42" applyNumberFormat="1" applyFont="1">
      <alignment/>
      <protection/>
    </xf>
    <xf numFmtId="168" fontId="13" fillId="0" borderId="10" xfId="42" applyNumberFormat="1" applyFont="1" applyBorder="1">
      <alignment/>
      <protection/>
    </xf>
    <xf numFmtId="38" fontId="14" fillId="0" borderId="0" xfId="0" applyNumberFormat="1" applyFont="1" applyAlignment="1" applyProtection="1">
      <alignment/>
      <protection/>
    </xf>
    <xf numFmtId="38" fontId="13" fillId="0" borderId="0" xfId="0" applyNumberFormat="1" applyFont="1" applyAlignment="1" applyProtection="1">
      <alignment horizontal="left"/>
      <protection/>
    </xf>
    <xf numFmtId="37" fontId="13" fillId="0" borderId="0" xfId="0" applyNumberFormat="1" applyFont="1" applyAlignment="1" applyProtection="1">
      <alignment/>
      <protection/>
    </xf>
    <xf numFmtId="168" fontId="14" fillId="0" borderId="0" xfId="42" applyNumberFormat="1" applyFont="1" applyProtection="1">
      <alignment/>
      <protection/>
    </xf>
    <xf numFmtId="37" fontId="14" fillId="0" borderId="0" xfId="0" applyNumberFormat="1" applyFont="1" applyAlignment="1" applyProtection="1">
      <alignment/>
      <protection/>
    </xf>
    <xf numFmtId="6" fontId="13" fillId="0" borderId="0" xfId="0" applyNumberFormat="1" applyFont="1" applyAlignment="1" applyProtection="1">
      <alignment/>
      <protection/>
    </xf>
    <xf numFmtId="38" fontId="13" fillId="0" borderId="0" xfId="0" applyNumberFormat="1" applyFont="1" applyAlignment="1" applyProtection="1">
      <alignment/>
      <protection/>
    </xf>
    <xf numFmtId="168" fontId="13" fillId="0" borderId="11" xfId="42" applyNumberFormat="1" applyFont="1" applyBorder="1" applyProtection="1">
      <alignment/>
      <protection/>
    </xf>
    <xf numFmtId="168" fontId="13" fillId="0" borderId="0" xfId="42" applyNumberFormat="1" applyFont="1" applyProtection="1">
      <alignment/>
      <protection/>
    </xf>
    <xf numFmtId="168" fontId="14" fillId="0" borderId="11" xfId="42" applyNumberFormat="1" applyFont="1" applyBorder="1" applyProtection="1">
      <alignment/>
      <protection/>
    </xf>
    <xf numFmtId="168" fontId="13" fillId="0" borderId="0" xfId="42" applyNumberFormat="1" applyFont="1" applyAlignment="1" applyProtection="1">
      <alignment horizontal="left"/>
      <protection/>
    </xf>
    <xf numFmtId="168" fontId="14" fillId="0" borderId="10" xfId="42" applyNumberFormat="1" applyFont="1" applyBorder="1">
      <alignment/>
      <protection/>
    </xf>
    <xf numFmtId="0" fontId="13" fillId="0" borderId="0" xfId="0" applyFont="1" applyAlignment="1">
      <alignment/>
    </xf>
    <xf numFmtId="164" fontId="13" fillId="0" borderId="0" xfId="0" applyNumberFormat="1" applyFont="1" applyAlignment="1" applyProtection="1">
      <alignment/>
      <protection/>
    </xf>
    <xf numFmtId="5" fontId="13" fillId="0" borderId="0" xfId="0" applyNumberFormat="1" applyFont="1" applyAlignment="1" applyProtection="1">
      <alignment/>
      <protection/>
    </xf>
    <xf numFmtId="170" fontId="15" fillId="0" borderId="0" xfId="47" applyNumberFormat="1" applyFont="1" applyAlignment="1">
      <alignment/>
    </xf>
    <xf numFmtId="164" fontId="12" fillId="0" borderId="0" xfId="0" applyNumberFormat="1" applyFont="1" applyAlignment="1" applyProtection="1">
      <alignment/>
      <protection/>
    </xf>
    <xf numFmtId="168" fontId="14" fillId="0" borderId="0" xfId="42" applyNumberFormat="1" applyFont="1" applyBorder="1" applyProtection="1">
      <alignment/>
      <protection/>
    </xf>
    <xf numFmtId="38" fontId="14" fillId="0" borderId="0" xfId="0" applyNumberFormat="1" applyFont="1" applyBorder="1" applyAlignment="1" applyProtection="1">
      <alignment/>
      <protection/>
    </xf>
    <xf numFmtId="164" fontId="7" fillId="0" borderId="0" xfId="0" applyNumberFormat="1" applyFont="1" applyAlignment="1" applyProtection="1">
      <alignment horizontal="right"/>
      <protection/>
    </xf>
    <xf numFmtId="43" fontId="13" fillId="0" borderId="0" xfId="42" applyFont="1">
      <alignment/>
      <protection/>
    </xf>
    <xf numFmtId="38" fontId="16" fillId="0" borderId="0" xfId="0" applyNumberFormat="1" applyFont="1" applyAlignment="1" applyProtection="1">
      <alignment/>
      <protection/>
    </xf>
    <xf numFmtId="168" fontId="16" fillId="0" borderId="0" xfId="42" applyNumberFormat="1" applyFont="1">
      <alignment/>
      <protection/>
    </xf>
    <xf numFmtId="168" fontId="13" fillId="0" borderId="0" xfId="0" applyNumberFormat="1" applyFont="1" applyAlignment="1" applyProtection="1">
      <alignment/>
      <protection/>
    </xf>
    <xf numFmtId="10" fontId="0" fillId="0" borderId="0" xfId="70" applyNumberFormat="1" applyFont="1" applyAlignment="1">
      <alignment/>
    </xf>
    <xf numFmtId="170" fontId="17" fillId="0" borderId="0" xfId="47" applyNumberFormat="1" applyFont="1" applyAlignment="1">
      <alignment/>
    </xf>
    <xf numFmtId="10" fontId="5" fillId="0" borderId="0" xfId="70" applyNumberFormat="1" applyFont="1" applyAlignment="1">
      <alignment/>
    </xf>
    <xf numFmtId="0" fontId="18" fillId="0" borderId="0" xfId="0" applyFont="1" applyAlignment="1">
      <alignment/>
    </xf>
    <xf numFmtId="38" fontId="16" fillId="0" borderId="12" xfId="0" applyNumberFormat="1" applyFont="1" applyBorder="1" applyAlignment="1" applyProtection="1">
      <alignment/>
      <protection/>
    </xf>
    <xf numFmtId="165" fontId="18" fillId="0" borderId="0" xfId="0" applyNumberFormat="1" applyFont="1" applyAlignment="1" applyProtection="1">
      <alignment/>
      <protection/>
    </xf>
    <xf numFmtId="168" fontId="20" fillId="0" borderId="0" xfId="42" applyNumberFormat="1" applyFont="1">
      <alignment/>
      <protection/>
    </xf>
    <xf numFmtId="38" fontId="0" fillId="0" borderId="0" xfId="0" applyNumberFormat="1" applyAlignment="1">
      <alignment/>
    </xf>
    <xf numFmtId="168" fontId="0" fillId="0" borderId="0" xfId="0" applyNumberFormat="1" applyAlignment="1">
      <alignment/>
    </xf>
    <xf numFmtId="0" fontId="21" fillId="0" borderId="0" xfId="0" applyFont="1" applyAlignment="1">
      <alignment/>
    </xf>
    <xf numFmtId="0" fontId="0" fillId="0" borderId="0" xfId="65">
      <alignment/>
      <protection/>
    </xf>
    <xf numFmtId="165" fontId="0" fillId="0" borderId="0" xfId="65" applyNumberFormat="1" applyProtection="1">
      <alignment/>
      <protection/>
    </xf>
    <xf numFmtId="0" fontId="0" fillId="0" borderId="0" xfId="65" applyAlignment="1">
      <alignment horizontal="center"/>
      <protection/>
    </xf>
    <xf numFmtId="0" fontId="0" fillId="0" borderId="0" xfId="65" applyAlignment="1">
      <alignment horizontal="left"/>
      <protection/>
    </xf>
    <xf numFmtId="10" fontId="0" fillId="0" borderId="0" xfId="65" applyNumberFormat="1" applyProtection="1">
      <alignment/>
      <protection/>
    </xf>
    <xf numFmtId="10" fontId="0" fillId="0" borderId="0" xfId="65" applyNumberFormat="1" applyAlignment="1" applyProtection="1">
      <alignment horizontal="center"/>
      <protection/>
    </xf>
    <xf numFmtId="0" fontId="24" fillId="0" borderId="0" xfId="64" applyFont="1" applyAlignment="1">
      <alignment horizontal="right"/>
      <protection/>
    </xf>
    <xf numFmtId="0" fontId="24" fillId="0" borderId="0" xfId="64">
      <alignment/>
      <protection/>
    </xf>
    <xf numFmtId="14" fontId="0" fillId="0" borderId="0" xfId="65" applyNumberFormat="1">
      <alignment/>
      <protection/>
    </xf>
    <xf numFmtId="0" fontId="0" fillId="0" borderId="0" xfId="0" applyAlignment="1">
      <alignment wrapText="1"/>
    </xf>
    <xf numFmtId="0" fontId="7" fillId="0" borderId="0" xfId="65" applyFont="1">
      <alignment/>
      <protection/>
    </xf>
    <xf numFmtId="0" fontId="6" fillId="0" borderId="0" xfId="65" applyFont="1">
      <alignment/>
      <protection/>
    </xf>
    <xf numFmtId="0" fontId="0" fillId="0" borderId="0" xfId="0" applyFont="1" applyAlignment="1">
      <alignment/>
    </xf>
    <xf numFmtId="0" fontId="26" fillId="0" borderId="0" xfId="0" applyFont="1" applyFill="1" applyAlignment="1">
      <alignment horizontal="center"/>
    </xf>
    <xf numFmtId="0" fontId="19" fillId="0" borderId="0" xfId="0" applyFont="1" applyAlignment="1" applyProtection="1">
      <alignment horizontal="right"/>
      <protection locked="0"/>
    </xf>
    <xf numFmtId="2" fontId="5" fillId="0" borderId="0" xfId="70" applyNumberFormat="1" applyFont="1" applyAlignment="1">
      <alignment/>
    </xf>
    <xf numFmtId="177" fontId="28" fillId="0" borderId="0" xfId="66" applyNumberFormat="1" applyFont="1" applyFill="1" applyBorder="1" applyProtection="1">
      <alignment/>
      <protection locked="0"/>
    </xf>
    <xf numFmtId="0" fontId="24" fillId="0" borderId="0" xfId="64" applyFont="1">
      <alignment/>
      <protection/>
    </xf>
    <xf numFmtId="0" fontId="29" fillId="0" borderId="0" xfId="64" applyFont="1">
      <alignment/>
      <protection/>
    </xf>
    <xf numFmtId="0" fontId="24" fillId="0" borderId="0" xfId="64" applyFont="1" applyAlignment="1">
      <alignment horizontal="left"/>
      <protection/>
    </xf>
    <xf numFmtId="0" fontId="40" fillId="0" borderId="0" xfId="67" applyFont="1">
      <alignment/>
      <protection/>
    </xf>
    <xf numFmtId="0" fontId="39" fillId="0" borderId="0" xfId="67" applyFont="1" applyAlignment="1">
      <alignment horizontal="center"/>
      <protection/>
    </xf>
    <xf numFmtId="0" fontId="39" fillId="0" borderId="0" xfId="67" applyFont="1">
      <alignment/>
      <protection/>
    </xf>
    <xf numFmtId="0" fontId="40" fillId="0" borderId="0" xfId="67" applyFont="1" applyAlignment="1">
      <alignment horizontal="center"/>
      <protection/>
    </xf>
    <xf numFmtId="0" fontId="39" fillId="33" borderId="0" xfId="67" applyFont="1" applyFill="1" applyAlignment="1">
      <alignment horizontal="center"/>
      <protection/>
    </xf>
    <xf numFmtId="0" fontId="40" fillId="33" borderId="0" xfId="67" applyFont="1" applyFill="1">
      <alignment/>
      <protection/>
    </xf>
    <xf numFmtId="0" fontId="39" fillId="33" borderId="0" xfId="67" applyFont="1" applyFill="1">
      <alignment/>
      <protection/>
    </xf>
    <xf numFmtId="0" fontId="39" fillId="0" borderId="0" xfId="67" applyFont="1" applyFill="1" applyBorder="1">
      <alignment/>
      <protection/>
    </xf>
    <xf numFmtId="0" fontId="39" fillId="33" borderId="0" xfId="67" applyFont="1" applyFill="1" applyBorder="1" applyAlignment="1">
      <alignment horizontal="center"/>
      <protection/>
    </xf>
    <xf numFmtId="0" fontId="41" fillId="33" borderId="0" xfId="67" applyFont="1" applyFill="1">
      <alignment/>
      <protection/>
    </xf>
    <xf numFmtId="0" fontId="41" fillId="0" borderId="0" xfId="67" applyFont="1" applyFill="1" applyBorder="1">
      <alignment/>
      <protection/>
    </xf>
    <xf numFmtId="0" fontId="39" fillId="33" borderId="0" xfId="67" applyFont="1" applyFill="1" applyAlignment="1">
      <alignment horizontal="right"/>
      <protection/>
    </xf>
    <xf numFmtId="0" fontId="39" fillId="33" borderId="0" xfId="67" applyFont="1" applyFill="1" applyAlignment="1">
      <alignment horizontal="right"/>
      <protection/>
    </xf>
    <xf numFmtId="0" fontId="39" fillId="0" borderId="0" xfId="67" applyFont="1" applyFill="1" applyBorder="1" applyAlignment="1">
      <alignment horizontal="right"/>
      <protection/>
    </xf>
    <xf numFmtId="0" fontId="40" fillId="0" borderId="13" xfId="67" applyFont="1" applyBorder="1">
      <alignment/>
      <protection/>
    </xf>
    <xf numFmtId="0" fontId="40" fillId="0" borderId="0" xfId="67" applyFont="1" applyBorder="1">
      <alignment/>
      <protection/>
    </xf>
    <xf numFmtId="0" fontId="42" fillId="34" borderId="10" xfId="67" applyFont="1" applyFill="1" applyBorder="1">
      <alignment/>
      <protection/>
    </xf>
    <xf numFmtId="2" fontId="42" fillId="34" borderId="10" xfId="67" applyNumberFormat="1" applyFont="1" applyFill="1" applyBorder="1">
      <alignment/>
      <protection/>
    </xf>
    <xf numFmtId="2" fontId="42" fillId="34" borderId="0" xfId="67" applyNumberFormat="1" applyFont="1" applyFill="1" applyBorder="1">
      <alignment/>
      <protection/>
    </xf>
    <xf numFmtId="0" fontId="42" fillId="0" borderId="0" xfId="67" applyFont="1">
      <alignment/>
      <protection/>
    </xf>
    <xf numFmtId="0" fontId="42" fillId="34" borderId="0" xfId="67" applyFont="1" applyFill="1" applyBorder="1">
      <alignment/>
      <protection/>
    </xf>
    <xf numFmtId="2" fontId="42" fillId="34" borderId="0" xfId="67" applyNumberFormat="1" applyFont="1" applyFill="1" applyBorder="1" applyAlignment="1">
      <alignment horizontal="right"/>
      <protection/>
    </xf>
    <xf numFmtId="2" fontId="42" fillId="34" borderId="0" xfId="67" applyNumberFormat="1" applyFont="1" applyFill="1" applyBorder="1" applyAlignment="1">
      <alignment horizontal="center"/>
      <protection/>
    </xf>
    <xf numFmtId="0" fontId="40" fillId="34" borderId="14" xfId="67" applyFont="1" applyFill="1" applyBorder="1">
      <alignment/>
      <protection/>
    </xf>
    <xf numFmtId="2" fontId="40" fillId="34" borderId="14" xfId="67" applyNumberFormat="1" applyFont="1" applyFill="1" applyBorder="1">
      <alignment/>
      <protection/>
    </xf>
    <xf numFmtId="2" fontId="42" fillId="34" borderId="14" xfId="67" applyNumberFormat="1" applyFont="1" applyFill="1" applyBorder="1">
      <alignment/>
      <protection/>
    </xf>
    <xf numFmtId="0" fontId="40" fillId="0" borderId="14" xfId="67" applyFont="1" applyBorder="1">
      <alignment/>
      <protection/>
    </xf>
    <xf numFmtId="0" fontId="40" fillId="34" borderId="0" xfId="67" applyFont="1" applyFill="1" applyBorder="1">
      <alignment/>
      <protection/>
    </xf>
    <xf numFmtId="2" fontId="40" fillId="34" borderId="0" xfId="67" applyNumberFormat="1" applyFont="1" applyFill="1" applyBorder="1">
      <alignment/>
      <protection/>
    </xf>
    <xf numFmtId="2" fontId="40" fillId="0" borderId="0" xfId="67" applyNumberFormat="1" applyFont="1">
      <alignment/>
      <protection/>
    </xf>
    <xf numFmtId="0" fontId="43" fillId="0" borderId="0" xfId="67" applyFont="1">
      <alignment/>
      <protection/>
    </xf>
    <xf numFmtId="2" fontId="43" fillId="0" borderId="0" xfId="67" applyNumberFormat="1" applyFont="1">
      <alignment/>
      <protection/>
    </xf>
    <xf numFmtId="0" fontId="44" fillId="0" borderId="0" xfId="67" applyFont="1">
      <alignment/>
      <protection/>
    </xf>
    <xf numFmtId="0" fontId="44" fillId="0" borderId="0" xfId="67" applyFont="1" applyAlignment="1">
      <alignment horizontal="left" indent="8"/>
      <protection/>
    </xf>
    <xf numFmtId="0" fontId="4" fillId="0" borderId="0" xfId="67">
      <alignment/>
      <protection/>
    </xf>
    <xf numFmtId="0" fontId="40" fillId="0" borderId="0" xfId="67" applyFont="1">
      <alignment/>
      <protection/>
    </xf>
    <xf numFmtId="2" fontId="4" fillId="0" borderId="0" xfId="67" applyNumberFormat="1">
      <alignment/>
      <protection/>
    </xf>
    <xf numFmtId="0" fontId="27" fillId="35" borderId="0" xfId="66" applyFont="1" applyFill="1" applyBorder="1" applyProtection="1">
      <alignment/>
      <protection locked="0"/>
    </xf>
    <xf numFmtId="176" fontId="0" fillId="0" borderId="0" xfId="0" applyNumberFormat="1" applyAlignment="1">
      <alignment/>
    </xf>
    <xf numFmtId="164" fontId="0" fillId="0" borderId="0" xfId="0" applyNumberFormat="1" applyFont="1" applyAlignment="1" applyProtection="1">
      <alignment horizontal="left"/>
      <protection/>
    </xf>
    <xf numFmtId="164" fontId="0" fillId="0" borderId="0" xfId="0" applyNumberFormat="1" applyFont="1" applyAlignment="1" applyProtection="1">
      <alignment/>
      <protection/>
    </xf>
    <xf numFmtId="0" fontId="7" fillId="0" borderId="0" xfId="0" applyFont="1" applyAlignment="1">
      <alignment/>
    </xf>
    <xf numFmtId="164" fontId="7" fillId="0" borderId="0" xfId="0" applyNumberFormat="1" applyFont="1" applyAlignment="1" applyProtection="1">
      <alignment horizontal="center"/>
      <protection/>
    </xf>
    <xf numFmtId="5" fontId="7" fillId="0" borderId="0" xfId="0" applyNumberFormat="1" applyFont="1" applyAlignment="1" applyProtection="1">
      <alignment horizontal="center"/>
      <protection/>
    </xf>
    <xf numFmtId="0" fontId="7" fillId="0" borderId="0" xfId="0" applyFont="1" applyAlignment="1">
      <alignment horizontal="center"/>
    </xf>
    <xf numFmtId="38" fontId="13" fillId="0" borderId="0" xfId="0" applyNumberFormat="1" applyFont="1" applyAlignment="1" applyProtection="1">
      <alignment/>
      <protection locked="0"/>
    </xf>
    <xf numFmtId="0" fontId="0" fillId="0" borderId="0" xfId="0" applyFont="1" applyAlignment="1" applyProtection="1">
      <alignment/>
      <protection locked="0"/>
    </xf>
    <xf numFmtId="38" fontId="0" fillId="0" borderId="0" xfId="0" applyNumberFormat="1" applyFont="1" applyAlignment="1" applyProtection="1">
      <alignment/>
      <protection/>
    </xf>
    <xf numFmtId="10" fontId="0" fillId="0" borderId="0" xfId="70" applyNumberFormat="1" applyFont="1" applyAlignment="1">
      <alignment/>
    </xf>
    <xf numFmtId="164" fontId="93" fillId="0" borderId="0" xfId="0" applyNumberFormat="1" applyFont="1" applyAlignment="1" applyProtection="1">
      <alignment horizontal="centerContinuous"/>
      <protection/>
    </xf>
    <xf numFmtId="164" fontId="93" fillId="0" borderId="0" xfId="0" applyNumberFormat="1" applyFont="1" applyAlignment="1" applyProtection="1">
      <alignment/>
      <protection/>
    </xf>
    <xf numFmtId="0" fontId="93" fillId="0" borderId="0" xfId="0" applyFont="1" applyAlignment="1" applyProtection="1">
      <alignment/>
      <protection locked="0"/>
    </xf>
    <xf numFmtId="164" fontId="94" fillId="0" borderId="0" xfId="0" applyNumberFormat="1" applyFont="1" applyAlignment="1" applyProtection="1">
      <alignment horizontal="center"/>
      <protection/>
    </xf>
    <xf numFmtId="6" fontId="95" fillId="0" borderId="0" xfId="0" applyNumberFormat="1" applyFont="1" applyAlignment="1" applyProtection="1">
      <alignment/>
      <protection/>
    </xf>
    <xf numFmtId="37" fontId="95" fillId="0" borderId="0" xfId="0" applyNumberFormat="1" applyFont="1" applyAlignment="1" applyProtection="1">
      <alignment/>
      <protection/>
    </xf>
    <xf numFmtId="38" fontId="95" fillId="0" borderId="0" xfId="0" applyNumberFormat="1" applyFont="1" applyAlignment="1" applyProtection="1">
      <alignment/>
      <protection/>
    </xf>
    <xf numFmtId="0" fontId="94" fillId="0" borderId="0" xfId="0" applyFont="1" applyAlignment="1">
      <alignment/>
    </xf>
    <xf numFmtId="37" fontId="96" fillId="0" borderId="0" xfId="0" applyNumberFormat="1" applyFont="1" applyAlignment="1" applyProtection="1">
      <alignment/>
      <protection/>
    </xf>
    <xf numFmtId="38" fontId="96" fillId="0" borderId="0" xfId="0" applyNumberFormat="1" applyFont="1" applyAlignment="1" applyProtection="1">
      <alignment/>
      <protection/>
    </xf>
    <xf numFmtId="38" fontId="97" fillId="0" borderId="0" xfId="0" applyNumberFormat="1" applyFont="1" applyAlignment="1" applyProtection="1">
      <alignment/>
      <protection/>
    </xf>
    <xf numFmtId="168" fontId="98" fillId="0" borderId="0" xfId="42" applyNumberFormat="1" applyFont="1">
      <alignment/>
      <protection/>
    </xf>
    <xf numFmtId="0" fontId="95" fillId="0" borderId="0" xfId="0" applyFont="1" applyAlignment="1">
      <alignment/>
    </xf>
    <xf numFmtId="164" fontId="95" fillId="0" borderId="0" xfId="0" applyNumberFormat="1" applyFont="1" applyAlignment="1" applyProtection="1">
      <alignment/>
      <protection/>
    </xf>
    <xf numFmtId="0" fontId="93" fillId="0" borderId="0" xfId="0" applyFont="1" applyAlignment="1">
      <alignment/>
    </xf>
    <xf numFmtId="0" fontId="93" fillId="0" borderId="0" xfId="0" applyFont="1" applyAlignment="1">
      <alignment horizontal="centerContinuous"/>
    </xf>
    <xf numFmtId="38" fontId="95" fillId="0" borderId="0" xfId="0" applyNumberFormat="1" applyFont="1" applyAlignment="1" applyProtection="1">
      <alignment/>
      <protection locked="0"/>
    </xf>
    <xf numFmtId="168" fontId="95" fillId="0" borderId="0" xfId="42" applyNumberFormat="1" applyFont="1">
      <alignment/>
      <protection/>
    </xf>
    <xf numFmtId="38" fontId="94" fillId="0" borderId="0" xfId="0" applyNumberFormat="1" applyFont="1" applyAlignment="1" applyProtection="1">
      <alignment/>
      <protection/>
    </xf>
    <xf numFmtId="5" fontId="7" fillId="19" borderId="15" xfId="0" applyNumberFormat="1" applyFont="1" applyFill="1" applyBorder="1" applyAlignment="1" applyProtection="1">
      <alignment horizontal="center"/>
      <protection/>
    </xf>
    <xf numFmtId="0" fontId="5" fillId="0" borderId="0" xfId="0" applyFont="1" applyAlignment="1" applyProtection="1">
      <alignment horizontal="center"/>
      <protection locked="0"/>
    </xf>
    <xf numFmtId="164" fontId="99" fillId="0" borderId="0" xfId="0" applyNumberFormat="1" applyFont="1" applyAlignment="1" applyProtection="1">
      <alignment horizontal="centerContinuous"/>
      <protection/>
    </xf>
    <xf numFmtId="164" fontId="99" fillId="0" borderId="0" xfId="0" applyNumberFormat="1" applyFont="1" applyAlignment="1" applyProtection="1">
      <alignment/>
      <protection/>
    </xf>
    <xf numFmtId="0" fontId="99" fillId="0" borderId="0" xfId="0" applyFont="1" applyAlignment="1" applyProtection="1">
      <alignment/>
      <protection locked="0"/>
    </xf>
    <xf numFmtId="37" fontId="100" fillId="0" borderId="0" xfId="0" applyNumberFormat="1" applyFont="1" applyAlignment="1" applyProtection="1">
      <alignment/>
      <protection/>
    </xf>
    <xf numFmtId="38" fontId="100" fillId="0" borderId="0" xfId="0" applyNumberFormat="1" applyFont="1" applyAlignment="1" applyProtection="1">
      <alignment/>
      <protection/>
    </xf>
    <xf numFmtId="0" fontId="101" fillId="0" borderId="0" xfId="0" applyFont="1" applyAlignment="1">
      <alignment/>
    </xf>
    <xf numFmtId="37" fontId="102" fillId="0" borderId="0" xfId="0" applyNumberFormat="1" applyFont="1" applyAlignment="1" applyProtection="1">
      <alignment/>
      <protection/>
    </xf>
    <xf numFmtId="38" fontId="102" fillId="0" borderId="0" xfId="0" applyNumberFormat="1" applyFont="1" applyAlignment="1" applyProtection="1">
      <alignment/>
      <protection/>
    </xf>
    <xf numFmtId="38" fontId="103" fillId="0" borderId="0" xfId="0" applyNumberFormat="1" applyFont="1" applyAlignment="1" applyProtection="1">
      <alignment/>
      <protection/>
    </xf>
    <xf numFmtId="168" fontId="104" fillId="0" borderId="0" xfId="42" applyNumberFormat="1" applyFont="1">
      <alignment/>
      <protection/>
    </xf>
    <xf numFmtId="0" fontId="100" fillId="0" borderId="0" xfId="0" applyFont="1" applyAlignment="1">
      <alignment/>
    </xf>
    <xf numFmtId="164" fontId="100" fillId="0" borderId="0" xfId="0" applyNumberFormat="1" applyFont="1" applyAlignment="1" applyProtection="1">
      <alignment/>
      <protection/>
    </xf>
    <xf numFmtId="0" fontId="99" fillId="0" borderId="0" xfId="0" applyFont="1" applyAlignment="1">
      <alignment/>
    </xf>
    <xf numFmtId="38" fontId="100" fillId="0" borderId="0" xfId="0" applyNumberFormat="1" applyFont="1" applyAlignment="1" applyProtection="1">
      <alignment/>
      <protection locked="0"/>
    </xf>
    <xf numFmtId="168" fontId="100" fillId="0" borderId="0" xfId="42" applyNumberFormat="1" applyFont="1">
      <alignment/>
      <protection/>
    </xf>
    <xf numFmtId="164" fontId="9" fillId="0" borderId="0" xfId="0" applyNumberFormat="1" applyFont="1" applyAlignment="1" applyProtection="1">
      <alignment horizontal="right"/>
      <protection/>
    </xf>
    <xf numFmtId="6" fontId="101" fillId="0" borderId="0" xfId="0" applyNumberFormat="1" applyFont="1" applyAlignment="1" applyProtection="1">
      <alignment horizontal="center"/>
      <protection/>
    </xf>
    <xf numFmtId="6" fontId="99" fillId="0" borderId="0" xfId="0" applyNumberFormat="1" applyFont="1" applyAlignment="1" applyProtection="1">
      <alignment/>
      <protection/>
    </xf>
    <xf numFmtId="168" fontId="100" fillId="0" borderId="11" xfId="42" applyNumberFormat="1" applyFont="1" applyBorder="1" applyProtection="1">
      <alignment/>
      <protection/>
    </xf>
    <xf numFmtId="168" fontId="100" fillId="0" borderId="0" xfId="42" applyNumberFormat="1" applyFont="1" applyProtection="1">
      <alignment/>
      <protection locked="0"/>
    </xf>
    <xf numFmtId="5" fontId="101" fillId="0" borderId="0" xfId="0" applyNumberFormat="1" applyFont="1" applyAlignment="1" applyProtection="1">
      <alignment horizontal="center"/>
      <protection/>
    </xf>
    <xf numFmtId="0" fontId="0" fillId="0" borderId="0" xfId="0" applyFont="1" applyAlignment="1">
      <alignment horizontal="centerContinuous"/>
    </xf>
    <xf numFmtId="38" fontId="7" fillId="0" borderId="0" xfId="0" applyNumberFormat="1" applyFont="1" applyAlignment="1" applyProtection="1">
      <alignment/>
      <protection/>
    </xf>
    <xf numFmtId="168" fontId="4" fillId="0" borderId="0" xfId="42" applyNumberFormat="1" applyFont="1">
      <alignment/>
      <protection/>
    </xf>
    <xf numFmtId="0" fontId="5" fillId="0" borderId="16" xfId="0" applyFont="1" applyBorder="1" applyAlignment="1" applyProtection="1">
      <alignment vertical="center" wrapText="1"/>
      <protection locked="0"/>
    </xf>
    <xf numFmtId="0" fontId="6" fillId="0" borderId="0" xfId="0" applyFont="1" applyAlignment="1">
      <alignment/>
    </xf>
    <xf numFmtId="0" fontId="5" fillId="0" borderId="17" xfId="0" applyFont="1" applyBorder="1" applyAlignment="1" applyProtection="1">
      <alignment vertical="center" wrapText="1"/>
      <protection locked="0"/>
    </xf>
    <xf numFmtId="168" fontId="100" fillId="0" borderId="13" xfId="42" applyNumberFormat="1" applyFont="1" applyBorder="1">
      <alignment/>
      <protection/>
    </xf>
    <xf numFmtId="38" fontId="95" fillId="0" borderId="13" xfId="0" applyNumberFormat="1" applyFont="1" applyBorder="1" applyAlignment="1" applyProtection="1">
      <alignment/>
      <protection/>
    </xf>
    <xf numFmtId="38" fontId="13" fillId="0" borderId="13" xfId="0" applyNumberFormat="1" applyFont="1" applyBorder="1" applyAlignment="1" applyProtection="1">
      <alignment/>
      <protection/>
    </xf>
    <xf numFmtId="168" fontId="13" fillId="0" borderId="13" xfId="42" applyNumberFormat="1" applyFont="1" applyBorder="1">
      <alignment/>
      <protection/>
    </xf>
    <xf numFmtId="168" fontId="100" fillId="0" borderId="0" xfId="42" applyNumberFormat="1" applyFont="1" applyBorder="1" applyProtection="1">
      <alignment/>
      <protection/>
    </xf>
    <xf numFmtId="6" fontId="95" fillId="0" borderId="13" xfId="0" applyNumberFormat="1" applyFont="1" applyBorder="1" applyAlignment="1" applyProtection="1">
      <alignment/>
      <protection/>
    </xf>
    <xf numFmtId="168" fontId="13" fillId="0" borderId="13" xfId="0" applyNumberFormat="1" applyFont="1" applyBorder="1" applyAlignment="1" applyProtection="1">
      <alignment/>
      <protection/>
    </xf>
    <xf numFmtId="168" fontId="100" fillId="0" borderId="0" xfId="0" applyNumberFormat="1" applyFont="1" applyBorder="1" applyAlignment="1" applyProtection="1">
      <alignment/>
      <protection/>
    </xf>
    <xf numFmtId="38" fontId="95" fillId="0" borderId="13" xfId="0" applyNumberFormat="1" applyFont="1" applyBorder="1" applyAlignment="1" applyProtection="1">
      <alignment/>
      <protection locked="0"/>
    </xf>
    <xf numFmtId="10" fontId="5" fillId="0" borderId="0" xfId="65" applyNumberFormat="1" applyFont="1" applyProtection="1">
      <alignment/>
      <protection locked="0"/>
    </xf>
    <xf numFmtId="0" fontId="0" fillId="0" borderId="0" xfId="65" applyFont="1">
      <alignment/>
      <protection/>
    </xf>
    <xf numFmtId="0" fontId="7" fillId="0" borderId="0" xfId="0" applyFont="1" applyAlignment="1">
      <alignment horizontal="center"/>
    </xf>
    <xf numFmtId="0" fontId="0" fillId="0" borderId="0" xfId="0" applyFont="1" applyAlignment="1">
      <alignment/>
    </xf>
    <xf numFmtId="0" fontId="11" fillId="0" borderId="0" xfId="65" applyFont="1" applyAlignment="1">
      <alignment horizontal="left"/>
      <protection/>
    </xf>
    <xf numFmtId="10" fontId="0" fillId="0" borderId="0" xfId="65" applyNumberFormat="1" applyFont="1" applyAlignment="1" applyProtection="1">
      <alignment horizontal="center"/>
      <protection/>
    </xf>
    <xf numFmtId="0" fontId="0" fillId="0" borderId="0" xfId="65" applyFont="1" applyAlignment="1">
      <alignment horizontal="left"/>
      <protection/>
    </xf>
    <xf numFmtId="43" fontId="0" fillId="0" borderId="0" xfId="0" applyNumberFormat="1" applyAlignment="1">
      <alignment/>
    </xf>
    <xf numFmtId="10" fontId="0" fillId="0" borderId="0" xfId="70" applyNumberFormat="1" applyFont="1" applyAlignment="1">
      <alignment/>
    </xf>
    <xf numFmtId="10" fontId="0" fillId="0" borderId="0" xfId="0" applyNumberFormat="1" applyFont="1" applyAlignment="1">
      <alignment/>
    </xf>
    <xf numFmtId="0" fontId="7" fillId="0" borderId="0" xfId="0" applyFont="1" applyAlignment="1">
      <alignment horizontal="left"/>
    </xf>
    <xf numFmtId="0" fontId="7" fillId="0" borderId="0" xfId="65" applyFont="1" applyAlignment="1">
      <alignment horizontal="right"/>
      <protection/>
    </xf>
    <xf numFmtId="165" fontId="5" fillId="0" borderId="15" xfId="65" applyNumberFormat="1" applyFont="1" applyBorder="1" applyProtection="1">
      <alignment/>
      <protection/>
    </xf>
    <xf numFmtId="0" fontId="0" fillId="0" borderId="0" xfId="65" applyFont="1" applyAlignment="1">
      <alignment horizontal="right"/>
      <protection/>
    </xf>
    <xf numFmtId="0" fontId="5" fillId="0" borderId="0" xfId="65" applyFont="1" applyProtection="1">
      <alignment/>
      <protection locked="0"/>
    </xf>
    <xf numFmtId="0" fontId="8" fillId="0" borderId="0" xfId="65" applyFont="1">
      <alignment/>
      <protection/>
    </xf>
    <xf numFmtId="0" fontId="11" fillId="0" borderId="0" xfId="65" applyFont="1" applyAlignment="1">
      <alignment horizontal="center"/>
      <protection/>
    </xf>
    <xf numFmtId="0" fontId="11" fillId="0" borderId="0" xfId="65" applyFont="1" applyAlignment="1">
      <alignment horizontal="centerContinuous"/>
      <protection/>
    </xf>
    <xf numFmtId="0" fontId="11" fillId="0" borderId="0" xfId="65" applyFont="1">
      <alignment/>
      <protection/>
    </xf>
    <xf numFmtId="0" fontId="0" fillId="0" borderId="0" xfId="65" applyFont="1">
      <alignment/>
      <protection/>
    </xf>
    <xf numFmtId="0" fontId="12" fillId="0" borderId="0" xfId="65" applyFont="1" applyAlignment="1">
      <alignment horizontal="left"/>
      <protection/>
    </xf>
    <xf numFmtId="164" fontId="23" fillId="0" borderId="0" xfId="58" applyNumberFormat="1" applyAlignment="1" applyProtection="1">
      <alignment horizontal="left"/>
      <protection/>
    </xf>
    <xf numFmtId="14" fontId="7" fillId="0" borderId="0" xfId="65" applyNumberFormat="1" applyFont="1">
      <alignment/>
      <protection/>
    </xf>
    <xf numFmtId="0" fontId="7" fillId="0" borderId="0" xfId="65" applyFont="1">
      <alignment/>
      <protection/>
    </xf>
    <xf numFmtId="0" fontId="0" fillId="0" borderId="0" xfId="65" applyFont="1" applyAlignment="1">
      <alignment horizontal="right"/>
      <protection/>
    </xf>
    <xf numFmtId="0" fontId="1" fillId="0" borderId="0" xfId="0" applyFont="1" applyAlignment="1">
      <alignment horizontal="right" wrapText="1"/>
    </xf>
    <xf numFmtId="0" fontId="46" fillId="0" borderId="0" xfId="0" applyFont="1" applyAlignment="1">
      <alignment horizontal="right" wrapText="1"/>
    </xf>
    <xf numFmtId="176" fontId="47" fillId="0" borderId="0" xfId="63">
      <alignment/>
      <protection/>
    </xf>
    <xf numFmtId="176" fontId="0" fillId="0" borderId="0" xfId="63" applyFont="1">
      <alignment/>
      <protection/>
    </xf>
    <xf numFmtId="176" fontId="33" fillId="0" borderId="0" xfId="63" applyFont="1">
      <alignment/>
      <protection/>
    </xf>
    <xf numFmtId="176" fontId="34" fillId="0" borderId="0" xfId="63" applyFont="1">
      <alignment/>
      <protection/>
    </xf>
    <xf numFmtId="176" fontId="33" fillId="0" borderId="0" xfId="63" applyFont="1" applyAlignment="1">
      <alignment horizontal="center" wrapText="1"/>
      <protection/>
    </xf>
    <xf numFmtId="40" fontId="0" fillId="0" borderId="0" xfId="45" applyFont="1" applyAlignment="1">
      <alignment/>
    </xf>
    <xf numFmtId="176" fontId="7" fillId="0" borderId="0" xfId="63" applyFont="1">
      <alignment/>
      <protection/>
    </xf>
    <xf numFmtId="40" fontId="7" fillId="0" borderId="0" xfId="45" applyFont="1" applyAlignment="1">
      <alignment/>
    </xf>
    <xf numFmtId="176" fontId="35" fillId="0" borderId="0" xfId="63" applyFont="1" applyAlignment="1">
      <alignment horizontal="center"/>
      <protection/>
    </xf>
    <xf numFmtId="8" fontId="36" fillId="0" borderId="0" xfId="50" applyFont="1" applyAlignment="1">
      <alignment/>
    </xf>
    <xf numFmtId="184" fontId="7" fillId="0" borderId="0" xfId="63" applyNumberFormat="1" applyFont="1" applyAlignment="1">
      <alignment horizontal="centerContinuous"/>
      <protection/>
    </xf>
    <xf numFmtId="176" fontId="7" fillId="0" borderId="0" xfId="63" applyFont="1" applyAlignment="1">
      <alignment horizontal="center"/>
      <protection/>
    </xf>
    <xf numFmtId="40" fontId="7" fillId="0" borderId="0" xfId="45" applyFont="1" applyAlignment="1">
      <alignment horizontal="center"/>
    </xf>
    <xf numFmtId="176" fontId="0" fillId="0" borderId="0" xfId="63" applyFont="1" applyAlignment="1">
      <alignment horizontal="center"/>
      <protection/>
    </xf>
    <xf numFmtId="176" fontId="37" fillId="0" borderId="0" xfId="63" applyFont="1">
      <alignment/>
      <protection/>
    </xf>
    <xf numFmtId="176" fontId="4" fillId="0" borderId="0" xfId="63" applyFont="1" applyAlignment="1">
      <alignment horizontal="right"/>
      <protection/>
    </xf>
    <xf numFmtId="38" fontId="1" fillId="0" borderId="0" xfId="45" applyNumberFormat="1" applyFont="1" applyAlignment="1">
      <alignment/>
    </xf>
    <xf numFmtId="176" fontId="35" fillId="0" borderId="0" xfId="63" applyNumberFormat="1" applyFont="1" applyAlignment="1">
      <alignment horizontal="center"/>
      <protection/>
    </xf>
    <xf numFmtId="8" fontId="36" fillId="0" borderId="0" xfId="50" applyNumberFormat="1" applyFont="1" applyAlignment="1">
      <alignment/>
    </xf>
    <xf numFmtId="176" fontId="7" fillId="0" borderId="0" xfId="63" applyNumberFormat="1" applyFont="1">
      <alignment/>
      <protection/>
    </xf>
    <xf numFmtId="176" fontId="37" fillId="0" borderId="0" xfId="63" applyNumberFormat="1" applyFont="1">
      <alignment/>
      <protection/>
    </xf>
    <xf numFmtId="40" fontId="7" fillId="0" borderId="0" xfId="45" applyNumberFormat="1" applyFont="1" applyAlignment="1">
      <alignment/>
    </xf>
    <xf numFmtId="176" fontId="11" fillId="0" borderId="0" xfId="63" applyFont="1" applyAlignment="1">
      <alignment horizontal="left"/>
      <protection/>
    </xf>
    <xf numFmtId="176" fontId="11" fillId="0" borderId="0" xfId="63" applyFont="1" applyAlignment="1">
      <alignment horizontal="center"/>
      <protection/>
    </xf>
    <xf numFmtId="40" fontId="11" fillId="0" borderId="0" xfId="45" applyFont="1" applyAlignment="1">
      <alignment horizontal="center"/>
    </xf>
    <xf numFmtId="176" fontId="13" fillId="0" borderId="0" xfId="63" applyFont="1">
      <alignment/>
      <protection/>
    </xf>
    <xf numFmtId="40" fontId="7" fillId="0" borderId="0" xfId="46" applyFont="1" applyAlignment="1">
      <alignment/>
    </xf>
    <xf numFmtId="0" fontId="7" fillId="0" borderId="0" xfId="65" applyFont="1" applyAlignment="1">
      <alignment horizontal="center"/>
      <protection/>
    </xf>
    <xf numFmtId="0" fontId="11" fillId="0" borderId="0" xfId="65" applyFont="1" applyAlignment="1">
      <alignment horizontal="center"/>
      <protection/>
    </xf>
    <xf numFmtId="10" fontId="5" fillId="0" borderId="0" xfId="65" applyNumberFormat="1" applyFont="1" applyFill="1" applyProtection="1">
      <alignment/>
      <protection locked="0"/>
    </xf>
    <xf numFmtId="38" fontId="95" fillId="0" borderId="0" xfId="0" applyNumberFormat="1" applyFont="1" applyAlignment="1" applyProtection="1">
      <alignment/>
      <protection/>
    </xf>
    <xf numFmtId="38" fontId="95" fillId="0" borderId="0" xfId="0" applyNumberFormat="1" applyFont="1" applyAlignment="1" applyProtection="1">
      <alignment/>
      <protection locked="0"/>
    </xf>
    <xf numFmtId="164" fontId="0" fillId="0" borderId="0" xfId="0" applyNumberFormat="1" applyFont="1" applyAlignment="1" applyProtection="1">
      <alignment/>
      <protection/>
    </xf>
    <xf numFmtId="0" fontId="0" fillId="16" borderId="0" xfId="65" applyFill="1" applyAlignment="1">
      <alignment horizontal="left"/>
      <protection/>
    </xf>
    <xf numFmtId="0" fontId="11" fillId="16" borderId="0" xfId="65" applyFont="1" applyFill="1" applyAlignment="1">
      <alignment horizontal="left"/>
      <protection/>
    </xf>
    <xf numFmtId="0" fontId="8" fillId="16" borderId="0" xfId="65" applyFont="1" applyFill="1">
      <alignment/>
      <protection/>
    </xf>
    <xf numFmtId="0" fontId="11" fillId="16" borderId="0" xfId="65" applyFont="1" applyFill="1" applyAlignment="1">
      <alignment horizontal="center"/>
      <protection/>
    </xf>
    <xf numFmtId="0" fontId="0" fillId="16" borderId="0" xfId="65" applyFont="1" applyFill="1" applyAlignment="1">
      <alignment horizontal="left"/>
      <protection/>
    </xf>
    <xf numFmtId="0" fontId="0" fillId="16" borderId="0" xfId="65" applyFont="1" applyFill="1">
      <alignment/>
      <protection/>
    </xf>
    <xf numFmtId="0" fontId="0" fillId="16" borderId="0" xfId="65" applyFont="1" applyFill="1" applyAlignment="1">
      <alignment horizontal="left"/>
      <protection/>
    </xf>
    <xf numFmtId="168" fontId="13" fillId="0" borderId="0" xfId="0" applyNumberFormat="1" applyFont="1" applyBorder="1" applyAlignment="1" applyProtection="1">
      <alignment/>
      <protection/>
    </xf>
    <xf numFmtId="168" fontId="0" fillId="0" borderId="13" xfId="0" applyNumberFormat="1" applyBorder="1" applyAlignment="1">
      <alignment/>
    </xf>
    <xf numFmtId="0" fontId="0" fillId="0" borderId="0" xfId="0" applyFont="1" applyBorder="1" applyAlignment="1">
      <alignment/>
    </xf>
    <xf numFmtId="0" fontId="0" fillId="0" borderId="0" xfId="0" applyBorder="1" applyAlignment="1">
      <alignment vertical="center" wrapText="1"/>
    </xf>
    <xf numFmtId="10" fontId="5" fillId="0" borderId="0" xfId="65" applyNumberFormat="1" applyFont="1" applyProtection="1">
      <alignment/>
      <protection locked="0"/>
    </xf>
    <xf numFmtId="14" fontId="5" fillId="0" borderId="0" xfId="65" applyNumberFormat="1" applyFont="1" applyAlignment="1">
      <alignment horizontal="center"/>
      <protection/>
    </xf>
    <xf numFmtId="168" fontId="14" fillId="0" borderId="0" xfId="42" applyNumberFormat="1" applyFont="1" applyBorder="1">
      <alignment/>
      <protection/>
    </xf>
    <xf numFmtId="38" fontId="1" fillId="35" borderId="18" xfId="44" applyNumberFormat="1" applyFont="1" applyFill="1" applyBorder="1" applyAlignment="1">
      <alignment/>
      <protection/>
    </xf>
    <xf numFmtId="38" fontId="1" fillId="35" borderId="19" xfId="44" applyNumberFormat="1" applyFont="1" applyFill="1" applyBorder="1" applyAlignment="1">
      <alignment/>
      <protection/>
    </xf>
    <xf numFmtId="0" fontId="7" fillId="0" borderId="13" xfId="65" applyFont="1" applyBorder="1">
      <alignment/>
      <protection/>
    </xf>
    <xf numFmtId="10" fontId="48" fillId="16" borderId="0" xfId="65" applyNumberFormat="1" applyFont="1" applyFill="1" applyProtection="1">
      <alignment/>
      <protection locked="0"/>
    </xf>
    <xf numFmtId="0" fontId="7" fillId="16" borderId="0" xfId="65" applyFont="1" applyFill="1">
      <alignment/>
      <protection/>
    </xf>
    <xf numFmtId="187" fontId="0" fillId="0" borderId="0" xfId="65" applyNumberFormat="1" applyFont="1">
      <alignment/>
      <protection/>
    </xf>
    <xf numFmtId="0" fontId="0" fillId="0" borderId="0" xfId="65" applyFont="1">
      <alignment/>
      <protection/>
    </xf>
    <xf numFmtId="0" fontId="8" fillId="0" borderId="0" xfId="65" applyFont="1">
      <alignment/>
      <protection/>
    </xf>
    <xf numFmtId="10" fontId="5" fillId="16" borderId="0" xfId="65" applyNumberFormat="1" applyFont="1" applyFill="1" applyProtection="1">
      <alignment/>
      <protection locked="0"/>
    </xf>
    <xf numFmtId="10" fontId="0" fillId="0" borderId="0" xfId="65" applyNumberFormat="1" applyFont="1" applyProtection="1">
      <alignment/>
      <protection/>
    </xf>
    <xf numFmtId="37" fontId="7" fillId="0" borderId="0" xfId="65" applyNumberFormat="1" applyFont="1" applyProtection="1">
      <alignment/>
      <protection/>
    </xf>
    <xf numFmtId="10" fontId="0" fillId="0" borderId="0" xfId="65" applyNumberFormat="1" applyFont="1" applyAlignment="1" applyProtection="1">
      <alignment horizontal="center"/>
      <protection/>
    </xf>
    <xf numFmtId="14" fontId="0" fillId="0" borderId="0" xfId="0" applyNumberFormat="1" applyAlignment="1">
      <alignment/>
    </xf>
    <xf numFmtId="9" fontId="0" fillId="0" borderId="0" xfId="70" applyFont="1" applyAlignment="1">
      <alignment/>
    </xf>
    <xf numFmtId="37" fontId="0" fillId="0" borderId="0" xfId="0" applyNumberFormat="1" applyAlignment="1">
      <alignment/>
    </xf>
    <xf numFmtId="14" fontId="0" fillId="0" borderId="0" xfId="0" applyNumberFormat="1" applyFont="1" applyAlignment="1">
      <alignment/>
    </xf>
    <xf numFmtId="204" fontId="0" fillId="0" borderId="0" xfId="70" applyNumberFormat="1" applyFont="1" applyAlignment="1">
      <alignment/>
    </xf>
    <xf numFmtId="1" fontId="0" fillId="0" borderId="0" xfId="0" applyNumberFormat="1" applyAlignment="1">
      <alignment/>
    </xf>
    <xf numFmtId="206" fontId="0" fillId="0" borderId="0" xfId="70" applyNumberFormat="1" applyFont="1" applyAlignment="1">
      <alignment/>
    </xf>
    <xf numFmtId="204" fontId="0" fillId="0" borderId="0" xfId="70" applyNumberFormat="1" applyFont="1" applyAlignment="1">
      <alignment/>
    </xf>
    <xf numFmtId="38" fontId="95" fillId="0" borderId="0" xfId="0" applyNumberFormat="1" applyFont="1" applyAlignment="1">
      <alignment/>
    </xf>
    <xf numFmtId="38" fontId="13" fillId="0" borderId="0" xfId="0" applyNumberFormat="1" applyFont="1" applyAlignment="1">
      <alignment/>
    </xf>
    <xf numFmtId="38" fontId="95" fillId="0" borderId="13" xfId="0" applyNumberFormat="1" applyFont="1" applyBorder="1" applyAlignment="1">
      <alignment/>
    </xf>
    <xf numFmtId="38" fontId="13" fillId="0" borderId="13" xfId="0" applyNumberFormat="1" applyFont="1" applyBorder="1" applyAlignment="1">
      <alignment/>
    </xf>
    <xf numFmtId="0" fontId="0" fillId="0" borderId="0" xfId="0" applyAlignment="1">
      <alignment wrapText="1"/>
    </xf>
    <xf numFmtId="0" fontId="7" fillId="0" borderId="0" xfId="0" applyFont="1" applyAlignment="1">
      <alignment horizontal="center"/>
    </xf>
    <xf numFmtId="6" fontId="7" fillId="19" borderId="18" xfId="0" applyNumberFormat="1" applyFont="1" applyFill="1" applyBorder="1" applyAlignment="1" applyProtection="1">
      <alignment horizontal="center"/>
      <protection/>
    </xf>
    <xf numFmtId="6" fontId="7" fillId="19" borderId="20" xfId="0" applyNumberFormat="1" applyFont="1" applyFill="1" applyBorder="1" applyAlignment="1" applyProtection="1">
      <alignment horizontal="center"/>
      <protection/>
    </xf>
    <xf numFmtId="6" fontId="7" fillId="19" borderId="19" xfId="0" applyNumberFormat="1" applyFont="1" applyFill="1" applyBorder="1" applyAlignment="1" applyProtection="1">
      <alignment horizontal="center"/>
      <protection/>
    </xf>
    <xf numFmtId="0" fontId="5" fillId="0" borderId="1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6" fillId="0" borderId="0" xfId="0" applyFont="1" applyAlignment="1">
      <alignment horizontal="center"/>
    </xf>
    <xf numFmtId="0" fontId="0" fillId="0" borderId="0" xfId="0" applyFont="1" applyAlignment="1">
      <alignment horizontal="center" vertical="center" wrapText="1"/>
    </xf>
    <xf numFmtId="0" fontId="5" fillId="0" borderId="16"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0" fillId="0" borderId="1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5" fontId="7" fillId="19" borderId="18" xfId="0" applyNumberFormat="1" applyFont="1" applyFill="1" applyBorder="1" applyAlignment="1" applyProtection="1">
      <alignment horizontal="center"/>
      <protection/>
    </xf>
    <xf numFmtId="5" fontId="7" fillId="19" borderId="20" xfId="0" applyNumberFormat="1" applyFont="1" applyFill="1" applyBorder="1" applyAlignment="1" applyProtection="1">
      <alignment horizontal="center"/>
      <protection/>
    </xf>
    <xf numFmtId="5" fontId="7" fillId="19" borderId="19" xfId="0" applyNumberFormat="1" applyFont="1" applyFill="1" applyBorder="1" applyAlignment="1" applyProtection="1">
      <alignment horizontal="center"/>
      <protection/>
    </xf>
    <xf numFmtId="0" fontId="6" fillId="0" borderId="0" xfId="0" applyFont="1" applyAlignment="1">
      <alignment horizontal="right"/>
    </xf>
    <xf numFmtId="0" fontId="7" fillId="0" borderId="0" xfId="65" applyFont="1" applyAlignment="1">
      <alignment horizontal="center"/>
      <protection/>
    </xf>
    <xf numFmtId="40" fontId="7" fillId="0" borderId="10" xfId="45" applyFont="1" applyBorder="1" applyAlignment="1">
      <alignment horizontal="center" vertical="center" wrapText="1"/>
    </xf>
    <xf numFmtId="40" fontId="7" fillId="0" borderId="0" xfId="45" applyFont="1" applyBorder="1" applyAlignment="1">
      <alignment horizontal="center" vertical="center" wrapText="1"/>
    </xf>
    <xf numFmtId="176" fontId="1" fillId="0" borderId="0" xfId="63" applyFont="1" applyAlignment="1">
      <alignment horizontal="right" wrapText="1"/>
      <protection/>
    </xf>
    <xf numFmtId="176" fontId="46" fillId="0" borderId="0" xfId="63" applyFont="1" applyAlignment="1">
      <alignment horizontal="right" wrapText="1"/>
      <protection/>
    </xf>
    <xf numFmtId="38" fontId="1" fillId="36" borderId="18" xfId="45" applyNumberFormat="1" applyFont="1" applyFill="1" applyBorder="1" applyAlignment="1">
      <alignment/>
    </xf>
    <xf numFmtId="38" fontId="1" fillId="36" borderId="19" xfId="45" applyNumberFormat="1" applyFont="1" applyFill="1" applyBorder="1" applyAlignment="1">
      <alignment/>
    </xf>
    <xf numFmtId="38" fontId="1" fillId="37" borderId="0" xfId="45" applyNumberFormat="1" applyFont="1" applyFill="1" applyAlignment="1">
      <alignment horizontal="right"/>
    </xf>
    <xf numFmtId="176" fontId="7" fillId="0" borderId="0" xfId="63" applyFont="1" applyAlignment="1">
      <alignment horizontal="right"/>
      <protection/>
    </xf>
    <xf numFmtId="184" fontId="7" fillId="0" borderId="0" xfId="63" applyNumberFormat="1" applyFont="1" applyAlignment="1">
      <alignment horizontal="center"/>
      <protection/>
    </xf>
    <xf numFmtId="176" fontId="4" fillId="0" borderId="0" xfId="63" applyFont="1" applyAlignment="1">
      <alignment wrapText="1"/>
      <protection/>
    </xf>
    <xf numFmtId="176" fontId="47" fillId="0" borderId="0" xfId="63" applyAlignment="1">
      <alignment wrapText="1"/>
      <protection/>
    </xf>
    <xf numFmtId="176" fontId="1" fillId="0" borderId="10" xfId="63" applyFont="1" applyBorder="1" applyAlignment="1">
      <alignment horizontal="left" vertical="center" wrapText="1"/>
      <protection/>
    </xf>
    <xf numFmtId="176" fontId="1" fillId="0" borderId="0" xfId="63" applyFont="1" applyBorder="1" applyAlignment="1">
      <alignment horizontal="left" vertical="center" wrapText="1"/>
      <protection/>
    </xf>
    <xf numFmtId="0" fontId="39" fillId="33" borderId="13" xfId="67" applyFont="1" applyFill="1" applyBorder="1" applyAlignment="1">
      <alignment horizontal="center"/>
      <protection/>
    </xf>
    <xf numFmtId="0" fontId="40" fillId="0" borderId="13" xfId="67" applyFont="1" applyBorder="1" applyAlignment="1">
      <alignment horizontal="center"/>
      <protection/>
    </xf>
    <xf numFmtId="0" fontId="39" fillId="0" borderId="0" xfId="67" applyFont="1" applyFill="1" applyBorder="1" applyAlignment="1">
      <alignment horizontal="center"/>
      <protection/>
    </xf>
    <xf numFmtId="0" fontId="7" fillId="0" borderId="0" xfId="0" applyFont="1" applyAlignment="1">
      <alignment horizontal="right"/>
    </xf>
    <xf numFmtId="0" fontId="39" fillId="33" borderId="0" xfId="67" applyFont="1" applyFill="1" applyAlignment="1">
      <alignment horizontal="center"/>
      <protection/>
    </xf>
    <xf numFmtId="0" fontId="39" fillId="33" borderId="0" xfId="67" applyFont="1" applyFill="1" applyAlignment="1">
      <alignment horizontal="center"/>
      <protection/>
    </xf>
    <xf numFmtId="0" fontId="40" fillId="0" borderId="0" xfId="67" applyFont="1" applyAlignment="1">
      <alignment horizontal="center"/>
      <protection/>
    </xf>
    <xf numFmtId="0" fontId="39" fillId="33" borderId="13" xfId="67" applyFont="1" applyFill="1" applyBorder="1" applyAlignment="1">
      <alignment horizontal="center"/>
      <protection/>
    </xf>
    <xf numFmtId="0" fontId="40" fillId="0" borderId="13" xfId="67" applyFont="1" applyBorder="1" applyAlignment="1">
      <alignment horizontal="center"/>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PHS398 Modular_05-09-08 (2)"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_Copy of Copy of ModBudSprdsht" xfId="64"/>
    <cellStyle name="Normal_Copy of FY06-FED" xfId="65"/>
    <cellStyle name="Normal_ModBudSprdsht-cal-fringes" xfId="66"/>
    <cellStyle name="Normal_person_months_conversion_chart_rev" xfId="67"/>
    <cellStyle name="Note" xfId="68"/>
    <cellStyle name="Output" xfId="69"/>
    <cellStyle name="Percent" xfId="70"/>
    <cellStyle name="Percent 2" xfId="71"/>
    <cellStyle name="Percent 3" xfId="72"/>
    <cellStyle name="Title" xfId="73"/>
    <cellStyle name="Total" xfId="74"/>
    <cellStyle name="Warning Text" xfId="75"/>
  </cellStyles>
  <dxfs count="5">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rgb="FFFFFFFF"/>
      </font>
      <fill>
        <patternFill patternType="solid">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10</xdr:row>
      <xdr:rowOff>19050</xdr:rowOff>
    </xdr:from>
    <xdr:to>
      <xdr:col>0</xdr:col>
      <xdr:colOff>85725</xdr:colOff>
      <xdr:row>11</xdr:row>
      <xdr:rowOff>19050</xdr:rowOff>
    </xdr:to>
    <xdr:pic>
      <xdr:nvPicPr>
        <xdr:cNvPr id="1" name="Picture 1" descr="BD21298_"/>
        <xdr:cNvPicPr preferRelativeResize="1">
          <a:picLocks noChangeAspect="1"/>
        </xdr:cNvPicPr>
      </xdr:nvPicPr>
      <xdr:blipFill>
        <a:blip r:embed="rId1"/>
        <a:stretch>
          <a:fillRect/>
        </a:stretch>
      </xdr:blipFill>
      <xdr:spPr>
        <a:xfrm>
          <a:off x="28575" y="1685925"/>
          <a:ext cx="57150"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rs.uc.edu/file_xls/PHS398%20Modular%20(09-04)%20BET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rs.uc.edu/file_xls/ModBudSprdsht-cal-fri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Mod_Budget"/>
      <sheetName val="CHKLST"/>
      <sheetName val="Overview"/>
      <sheetName val="Budget Worksheet"/>
      <sheetName val="RATES"/>
      <sheetName val="NIH cap, other salary info"/>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Ref"/>
    </sheetNames>
    <sheetDataSet>
      <sheetData sheetId="1">
        <row r="4">
          <cell r="C4">
            <v>1.03</v>
          </cell>
        </row>
        <row r="5">
          <cell r="C5">
            <v>1.03</v>
          </cell>
        </row>
        <row r="6">
          <cell r="C6">
            <v>1.03</v>
          </cell>
        </row>
        <row r="7">
          <cell r="C7">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M71"/>
  <sheetViews>
    <sheetView workbookViewId="0" topLeftCell="A17">
      <selection activeCell="B21" sqref="B21"/>
    </sheetView>
  </sheetViews>
  <sheetFormatPr defaultColWidth="9.00390625" defaultRowHeight="15.75"/>
  <sheetData>
    <row r="1" s="77" customFormat="1" ht="18.75">
      <c r="A1" s="77" t="s">
        <v>101</v>
      </c>
    </row>
    <row r="3" s="71" customFormat="1" ht="15.75">
      <c r="A3" s="71" t="s">
        <v>95</v>
      </c>
    </row>
    <row r="4" ht="15.75">
      <c r="A4" t="s">
        <v>70</v>
      </c>
    </row>
    <row r="5" ht="15.75">
      <c r="B5" t="s">
        <v>78</v>
      </c>
    </row>
    <row r="6" spans="1:2" ht="19.5">
      <c r="A6" s="91"/>
      <c r="B6" s="90"/>
    </row>
    <row r="7" spans="1:2" ht="19.5">
      <c r="A7" s="91"/>
      <c r="B7" s="71"/>
    </row>
    <row r="9" ht="15.75">
      <c r="A9" t="s">
        <v>102</v>
      </c>
    </row>
    <row r="10" ht="15.75">
      <c r="B10" t="s">
        <v>176</v>
      </c>
    </row>
    <row r="11" ht="15.75">
      <c r="C11" t="s">
        <v>177</v>
      </c>
    </row>
    <row r="12" ht="15.75">
      <c r="B12" t="s">
        <v>178</v>
      </c>
    </row>
    <row r="13" ht="15.75">
      <c r="B13" t="s">
        <v>79</v>
      </c>
    </row>
    <row r="14" ht="15.75">
      <c r="B14" t="s">
        <v>80</v>
      </c>
    </row>
    <row r="15" ht="15.75">
      <c r="B15" t="s">
        <v>103</v>
      </c>
    </row>
    <row r="17" ht="15.75">
      <c r="B17" t="s">
        <v>81</v>
      </c>
    </row>
    <row r="18" ht="15.75">
      <c r="C18" t="s">
        <v>82</v>
      </c>
    </row>
    <row r="20" ht="15.75">
      <c r="B20" s="31" t="s">
        <v>241</v>
      </c>
    </row>
    <row r="21" ht="15.75">
      <c r="C21" t="s">
        <v>104</v>
      </c>
    </row>
    <row r="22" ht="15.75">
      <c r="C22" s="71" t="s">
        <v>105</v>
      </c>
    </row>
    <row r="23" ht="15.75">
      <c r="C23" s="71"/>
    </row>
    <row r="24" ht="15.75">
      <c r="B24" t="s">
        <v>110</v>
      </c>
    </row>
    <row r="25" ht="15.75">
      <c r="C25" s="71" t="s">
        <v>106</v>
      </c>
    </row>
    <row r="27" ht="15.75">
      <c r="B27" t="s">
        <v>83</v>
      </c>
    </row>
    <row r="29" spans="2:12" ht="15.75" customHeight="1">
      <c r="B29" s="302" t="s">
        <v>113</v>
      </c>
      <c r="C29" s="302"/>
      <c r="D29" s="302"/>
      <c r="E29" s="302"/>
      <c r="F29" s="302"/>
      <c r="G29" s="302"/>
      <c r="H29" s="302"/>
      <c r="I29" s="302"/>
      <c r="J29" s="302"/>
      <c r="K29" s="302"/>
      <c r="L29" s="302"/>
    </row>
    <row r="30" spans="2:12" ht="15.75">
      <c r="B30" s="302"/>
      <c r="C30" s="302"/>
      <c r="D30" s="302"/>
      <c r="E30" s="302"/>
      <c r="F30" s="302"/>
      <c r="G30" s="302"/>
      <c r="H30" s="302"/>
      <c r="I30" s="302"/>
      <c r="J30" s="302"/>
      <c r="K30" s="302"/>
      <c r="L30" s="302"/>
    </row>
    <row r="31" spans="2:12" ht="15.75" hidden="1">
      <c r="B31" s="302"/>
      <c r="C31" s="302"/>
      <c r="D31" s="302"/>
      <c r="E31" s="302"/>
      <c r="F31" s="302"/>
      <c r="G31" s="302"/>
      <c r="H31" s="302"/>
      <c r="I31" s="302"/>
      <c r="J31" s="302"/>
      <c r="K31" s="302"/>
      <c r="L31" s="302"/>
    </row>
    <row r="32" spans="2:12" ht="15.75">
      <c r="B32" s="87"/>
      <c r="C32" s="87"/>
      <c r="D32" s="87"/>
      <c r="E32" s="87"/>
      <c r="F32" s="87"/>
      <c r="G32" s="87"/>
      <c r="H32" s="87"/>
      <c r="I32" s="87"/>
      <c r="J32" s="87"/>
      <c r="K32" s="87"/>
      <c r="L32" s="87"/>
    </row>
    <row r="33" ht="15.75">
      <c r="B33" t="s">
        <v>107</v>
      </c>
    </row>
    <row r="34" ht="15.75">
      <c r="B34" t="s">
        <v>109</v>
      </c>
    </row>
    <row r="35" ht="15.75">
      <c r="C35" s="71" t="s">
        <v>71</v>
      </c>
    </row>
    <row r="36" spans="11:13" ht="15.75">
      <c r="K36" s="303">
        <f>'RATES-Non Fed'!Q69</f>
        <v>0</v>
      </c>
      <c r="L36" s="303"/>
      <c r="M36" s="303"/>
    </row>
    <row r="38" spans="2:12" ht="15.75">
      <c r="B38" s="302" t="s">
        <v>108</v>
      </c>
      <c r="C38" s="302"/>
      <c r="D38" s="302"/>
      <c r="E38" s="302"/>
      <c r="F38" s="302"/>
      <c r="G38" s="302"/>
      <c r="H38" s="302"/>
      <c r="I38" s="302"/>
      <c r="J38" s="302"/>
      <c r="K38" s="302"/>
      <c r="L38" s="302"/>
    </row>
    <row r="39" spans="2:12" ht="15.75">
      <c r="B39" s="302"/>
      <c r="C39" s="302"/>
      <c r="D39" s="302"/>
      <c r="E39" s="302"/>
      <c r="F39" s="302"/>
      <c r="G39" s="302"/>
      <c r="H39" s="302"/>
      <c r="I39" s="302"/>
      <c r="J39" s="302"/>
      <c r="K39" s="302"/>
      <c r="L39" s="302"/>
    </row>
    <row r="40" spans="2:12" ht="15.75">
      <c r="B40" s="87"/>
      <c r="C40" s="87"/>
      <c r="D40" s="87"/>
      <c r="E40" s="87"/>
      <c r="F40" s="87"/>
      <c r="G40" s="87"/>
      <c r="H40" s="87"/>
      <c r="I40" s="87"/>
      <c r="J40" s="87"/>
      <c r="K40" s="87"/>
      <c r="L40" s="87"/>
    </row>
    <row r="41" spans="2:12" ht="15.75">
      <c r="B41" s="302" t="s">
        <v>111</v>
      </c>
      <c r="C41" s="302"/>
      <c r="D41" s="302"/>
      <c r="E41" s="302"/>
      <c r="F41" s="302"/>
      <c r="G41" s="302"/>
      <c r="H41" s="302"/>
      <c r="I41" s="302"/>
      <c r="J41" s="302"/>
      <c r="K41" s="302"/>
      <c r="L41" s="87"/>
    </row>
    <row r="42" spans="2:12" ht="15.75">
      <c r="B42" s="87"/>
      <c r="C42" s="87"/>
      <c r="D42" s="87"/>
      <c r="E42" s="87"/>
      <c r="F42" s="87"/>
      <c r="G42" s="87"/>
      <c r="H42" s="87"/>
      <c r="I42" s="87"/>
      <c r="J42" s="87"/>
      <c r="K42" s="87"/>
      <c r="L42" s="87"/>
    </row>
    <row r="43" ht="15.75">
      <c r="B43" t="s">
        <v>72</v>
      </c>
    </row>
    <row r="45" ht="15.75">
      <c r="B45" t="s">
        <v>73</v>
      </c>
    </row>
    <row r="47" ht="15.75">
      <c r="B47" t="s">
        <v>74</v>
      </c>
    </row>
    <row r="49" ht="15.75">
      <c r="B49" t="s">
        <v>75</v>
      </c>
    </row>
    <row r="50" ht="15.75">
      <c r="B50" t="s">
        <v>76</v>
      </c>
    </row>
    <row r="52" ht="15.75">
      <c r="B52" t="s">
        <v>77</v>
      </c>
    </row>
    <row r="53" ht="15.75">
      <c r="B53" s="71" t="s">
        <v>112</v>
      </c>
    </row>
    <row r="71" spans="11:13" ht="15.75">
      <c r="K71" s="303">
        <f>'RATES-Non Fed'!Q69</f>
        <v>0</v>
      </c>
      <c r="L71" s="303"/>
      <c r="M71" s="303"/>
    </row>
  </sheetData>
  <sheetProtection/>
  <mergeCells count="5">
    <mergeCell ref="B29:L31"/>
    <mergeCell ref="B38:L39"/>
    <mergeCell ref="B41:K41"/>
    <mergeCell ref="K36:M36"/>
    <mergeCell ref="K71:M71"/>
  </mergeCells>
  <printOptions/>
  <pageMargins left="0.49" right="0.51" top="0.49" bottom="0.5" header="0.5" footer="0.5"/>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R43"/>
  <sheetViews>
    <sheetView showGridLines="0" workbookViewId="0" topLeftCell="A1">
      <selection activeCell="D14" sqref="D14"/>
    </sheetView>
  </sheetViews>
  <sheetFormatPr defaultColWidth="8.00390625" defaultRowHeight="15.75"/>
  <cols>
    <col min="1" max="6" width="8.00390625" style="98" customWidth="1"/>
    <col min="7" max="8" width="9.375" style="98" customWidth="1"/>
    <col min="9" max="9" width="4.125" style="98" customWidth="1"/>
    <col min="10" max="11" width="9.375" style="98" customWidth="1"/>
    <col min="12" max="12" width="4.125" style="98" customWidth="1"/>
    <col min="13" max="16" width="9.375" style="98" customWidth="1"/>
    <col min="17" max="17" width="4.125" style="98" customWidth="1"/>
    <col min="18" max="19" width="9.375" style="98" customWidth="1"/>
    <col min="20" max="16384" width="8.00390625" style="98" customWidth="1"/>
  </cols>
  <sheetData>
    <row r="1" spans="8:17" ht="12">
      <c r="H1" s="99" t="s">
        <v>159</v>
      </c>
      <c r="K1" s="100"/>
      <c r="L1" s="100"/>
      <c r="P1" s="99"/>
      <c r="Q1" s="101"/>
    </row>
    <row r="2" spans="8:17" ht="12">
      <c r="H2" s="99" t="s">
        <v>160</v>
      </c>
      <c r="K2" s="100"/>
      <c r="L2" s="100"/>
      <c r="M2" s="100"/>
      <c r="O2" s="99"/>
      <c r="P2" s="99"/>
      <c r="Q2" s="101"/>
    </row>
    <row r="6" spans="1:14" ht="12">
      <c r="A6" s="344" t="s">
        <v>161</v>
      </c>
      <c r="B6" s="344"/>
      <c r="C6" s="102"/>
      <c r="D6" s="345" t="s">
        <v>162</v>
      </c>
      <c r="E6" s="346"/>
      <c r="F6" s="103"/>
      <c r="G6" s="344" t="s">
        <v>163</v>
      </c>
      <c r="H6" s="344"/>
      <c r="I6" s="104"/>
      <c r="J6" s="342"/>
      <c r="K6" s="342"/>
      <c r="L6" s="105"/>
      <c r="M6" s="342"/>
      <c r="N6" s="342"/>
    </row>
    <row r="7" spans="1:14" ht="12">
      <c r="A7" s="340" t="s">
        <v>164</v>
      </c>
      <c r="B7" s="340"/>
      <c r="C7" s="106"/>
      <c r="D7" s="347" t="s">
        <v>165</v>
      </c>
      <c r="E7" s="348"/>
      <c r="F7" s="103"/>
      <c r="G7" s="340" t="s">
        <v>166</v>
      </c>
      <c r="H7" s="341"/>
      <c r="I7" s="107"/>
      <c r="J7" s="342"/>
      <c r="K7" s="342"/>
      <c r="L7" s="108"/>
      <c r="M7" s="342"/>
      <c r="N7" s="342"/>
    </row>
    <row r="8" spans="1:14" ht="12">
      <c r="A8" s="107"/>
      <c r="B8" s="107"/>
      <c r="C8" s="107"/>
      <c r="D8" s="107"/>
      <c r="E8" s="103"/>
      <c r="F8" s="103"/>
      <c r="G8" s="107"/>
      <c r="H8" s="107"/>
      <c r="I8" s="107"/>
      <c r="J8" s="108"/>
      <c r="K8" s="108"/>
      <c r="L8" s="108"/>
      <c r="M8" s="108"/>
      <c r="N8" s="108"/>
    </row>
    <row r="9" spans="1:14" ht="12">
      <c r="A9" s="109" t="s">
        <v>167</v>
      </c>
      <c r="B9" s="109" t="s">
        <v>168</v>
      </c>
      <c r="C9" s="104"/>
      <c r="D9" s="109" t="s">
        <v>169</v>
      </c>
      <c r="E9" s="110" t="s">
        <v>121</v>
      </c>
      <c r="F9" s="103"/>
      <c r="G9" s="109" t="s">
        <v>170</v>
      </c>
      <c r="H9" s="109" t="s">
        <v>171</v>
      </c>
      <c r="I9" s="104"/>
      <c r="J9" s="111"/>
      <c r="K9" s="111"/>
      <c r="L9" s="105"/>
      <c r="M9" s="111"/>
      <c r="N9" s="111"/>
    </row>
    <row r="10" spans="3:14" ht="12">
      <c r="C10" s="112"/>
      <c r="E10" s="112"/>
      <c r="F10" s="112"/>
      <c r="G10" s="112"/>
      <c r="J10" s="113"/>
      <c r="K10" s="113"/>
      <c r="L10" s="113"/>
      <c r="M10" s="113"/>
      <c r="N10" s="113"/>
    </row>
    <row r="11" spans="1:14" ht="12">
      <c r="A11" s="114">
        <v>1</v>
      </c>
      <c r="B11" s="115">
        <f>15.65*A11/4.3333</f>
        <v>3.6115662428172524</v>
      </c>
      <c r="C11" s="116"/>
      <c r="D11" s="114">
        <f>A11</f>
        <v>1</v>
      </c>
      <c r="E11" s="115">
        <f>36.35*D11/4.3333</f>
        <v>8.38852606558512</v>
      </c>
      <c r="F11" s="113"/>
      <c r="G11" s="117">
        <f>A11</f>
        <v>1</v>
      </c>
      <c r="H11" s="115">
        <f>52*G11/4.3333</f>
        <v>12.00009230840237</v>
      </c>
      <c r="I11" s="114"/>
      <c r="J11" s="118"/>
      <c r="K11" s="119"/>
      <c r="L11" s="120"/>
      <c r="M11" s="118"/>
      <c r="N11" s="116"/>
    </row>
    <row r="12" spans="1:14" ht="12.75" thickBot="1">
      <c r="A12" s="121"/>
      <c r="B12" s="122"/>
      <c r="C12" s="123"/>
      <c r="D12" s="121"/>
      <c r="E12" s="124"/>
      <c r="F12" s="124"/>
      <c r="G12" s="121"/>
      <c r="H12" s="122"/>
      <c r="I12" s="121"/>
      <c r="J12" s="125"/>
      <c r="K12" s="125"/>
      <c r="L12" s="125"/>
      <c r="M12" s="125"/>
      <c r="N12" s="126"/>
    </row>
    <row r="13" spans="8:18" ht="12">
      <c r="H13" s="127"/>
      <c r="N13" s="127"/>
      <c r="R13" s="127"/>
    </row>
    <row r="14" spans="1:16" ht="12">
      <c r="A14" s="128" t="s">
        <v>172</v>
      </c>
      <c r="B14" s="129"/>
      <c r="C14" s="129"/>
      <c r="D14" s="129"/>
      <c r="E14" s="129"/>
      <c r="F14" s="129"/>
      <c r="G14" s="128"/>
      <c r="H14" s="128"/>
      <c r="I14" s="128"/>
      <c r="J14" s="128"/>
      <c r="K14" s="129"/>
      <c r="L14" s="129"/>
      <c r="M14" s="128"/>
      <c r="N14" s="128"/>
      <c r="O14" s="129"/>
      <c r="P14" s="128"/>
    </row>
    <row r="15" spans="1:16" ht="12">
      <c r="A15" s="128"/>
      <c r="B15" s="129"/>
      <c r="C15" s="129"/>
      <c r="D15" s="129"/>
      <c r="E15" s="129"/>
      <c r="F15" s="129"/>
      <c r="G15" s="128"/>
      <c r="H15" s="128"/>
      <c r="I15" s="128"/>
      <c r="J15" s="128"/>
      <c r="K15" s="129"/>
      <c r="L15" s="129"/>
      <c r="M15" s="128"/>
      <c r="N15" s="128"/>
      <c r="O15" s="129"/>
      <c r="P15" s="128"/>
    </row>
    <row r="16" spans="1:16" ht="12">
      <c r="A16" s="128" t="s">
        <v>173</v>
      </c>
      <c r="B16" s="129"/>
      <c r="C16" s="129"/>
      <c r="D16" s="129"/>
      <c r="E16" s="129"/>
      <c r="F16" s="129"/>
      <c r="G16" s="128"/>
      <c r="H16" s="128"/>
      <c r="I16" s="128"/>
      <c r="J16" s="128"/>
      <c r="K16" s="129"/>
      <c r="L16" s="129"/>
      <c r="M16" s="128"/>
      <c r="N16" s="128"/>
      <c r="O16" s="129"/>
      <c r="P16" s="128"/>
    </row>
    <row r="17" spans="1:16" ht="12">
      <c r="A17" s="128" t="s">
        <v>174</v>
      </c>
      <c r="B17" s="129"/>
      <c r="C17" s="129"/>
      <c r="D17" s="129"/>
      <c r="E17" s="129"/>
      <c r="F17" s="129"/>
      <c r="G17" s="128"/>
      <c r="H17" s="128"/>
      <c r="I17" s="128"/>
      <c r="J17" s="128"/>
      <c r="K17" s="129"/>
      <c r="L17" s="129"/>
      <c r="M17" s="128"/>
      <c r="N17" s="128"/>
      <c r="O17" s="129"/>
      <c r="P17" s="128"/>
    </row>
    <row r="18" spans="2:15" ht="12">
      <c r="B18" s="127"/>
      <c r="C18" s="127"/>
      <c r="D18" s="127"/>
      <c r="E18" s="127"/>
      <c r="F18" s="127"/>
      <c r="K18" s="127"/>
      <c r="L18" s="127"/>
      <c r="O18" s="127"/>
    </row>
    <row r="19" spans="2:15" ht="12">
      <c r="B19" s="127"/>
      <c r="C19" s="127"/>
      <c r="D19" s="127"/>
      <c r="E19" s="127"/>
      <c r="F19" s="127"/>
      <c r="K19" s="127"/>
      <c r="L19" s="127"/>
      <c r="O19" s="127"/>
    </row>
    <row r="20" spans="1:15" ht="12">
      <c r="A20" s="130"/>
      <c r="K20" s="127"/>
      <c r="L20" s="127"/>
      <c r="O20" s="127"/>
    </row>
    <row r="21" spans="1:15" ht="12">
      <c r="A21" s="130"/>
      <c r="K21" s="127"/>
      <c r="L21" s="127"/>
      <c r="O21" s="127"/>
    </row>
    <row r="22" spans="1:15" ht="12">
      <c r="A22" s="130"/>
      <c r="K22" s="127"/>
      <c r="L22" s="127"/>
      <c r="O22" s="127"/>
    </row>
    <row r="23" spans="1:11" ht="12">
      <c r="A23" s="130"/>
      <c r="D23" s="130"/>
      <c r="E23" s="130"/>
      <c r="K23" s="127"/>
    </row>
    <row r="24" spans="1:11" ht="12">
      <c r="A24" s="130"/>
      <c r="D24" s="130"/>
      <c r="E24" s="130"/>
      <c r="K24" s="127"/>
    </row>
    <row r="25" spans="1:11" ht="12">
      <c r="A25" s="130"/>
      <c r="D25" s="130"/>
      <c r="E25" s="130"/>
      <c r="K25" s="127"/>
    </row>
    <row r="26" spans="1:15" ht="12">
      <c r="A26" s="130"/>
      <c r="K26" s="127"/>
      <c r="L26" s="127"/>
      <c r="O26" s="127"/>
    </row>
    <row r="27" spans="1:15" ht="12">
      <c r="A27" s="130"/>
      <c r="K27" s="127"/>
      <c r="L27" s="127"/>
      <c r="O27" s="127"/>
    </row>
    <row r="28" spans="1:15" ht="12">
      <c r="A28" s="130"/>
      <c r="K28" s="127"/>
      <c r="L28" s="127"/>
      <c r="O28" s="127"/>
    </row>
    <row r="29" spans="1:15" ht="12">
      <c r="A29" s="131"/>
      <c r="K29" s="127"/>
      <c r="L29" s="127"/>
      <c r="O29" s="127"/>
    </row>
    <row r="31" ht="12.75">
      <c r="C31" s="132"/>
    </row>
    <row r="32" ht="12.75">
      <c r="C32" s="132"/>
    </row>
    <row r="33" ht="12.75">
      <c r="C33" s="132"/>
    </row>
    <row r="34" spans="1:15" ht="12">
      <c r="A34" s="133"/>
      <c r="B34" s="131"/>
      <c r="C34" s="131"/>
      <c r="D34" s="131"/>
      <c r="E34" s="131"/>
      <c r="F34" s="131"/>
      <c r="K34" s="127"/>
      <c r="L34" s="127"/>
      <c r="O34" s="127"/>
    </row>
    <row r="35" spans="1:12" ht="12.75">
      <c r="A35" s="131"/>
      <c r="C35" s="132"/>
      <c r="D35" s="132"/>
      <c r="E35" s="132"/>
      <c r="F35" s="134"/>
      <c r="G35" s="132"/>
      <c r="H35" s="132"/>
      <c r="I35" s="132"/>
      <c r="J35" s="132"/>
      <c r="K35" s="132"/>
      <c r="L35" s="127"/>
    </row>
    <row r="36" spans="1:11" ht="12.75">
      <c r="A36" s="131"/>
      <c r="C36" s="132"/>
      <c r="D36" s="132"/>
      <c r="E36" s="132"/>
      <c r="F36" s="132"/>
      <c r="G36" s="132"/>
      <c r="H36" s="132"/>
      <c r="I36" s="132"/>
      <c r="J36" s="132"/>
      <c r="K36" s="132"/>
    </row>
    <row r="37" spans="3:11" ht="12.75">
      <c r="C37" s="132"/>
      <c r="D37" s="132"/>
      <c r="E37" s="132"/>
      <c r="F37" s="132"/>
      <c r="G37" s="132"/>
      <c r="H37" s="132"/>
      <c r="I37" s="132"/>
      <c r="J37" s="132"/>
      <c r="K37" s="132"/>
    </row>
    <row r="40" spans="3:11" ht="12.75">
      <c r="C40" s="132"/>
      <c r="D40" s="132"/>
      <c r="E40" s="132"/>
      <c r="F40" s="132"/>
      <c r="G40" s="132"/>
      <c r="H40" s="132"/>
      <c r="I40" s="132"/>
      <c r="J40" s="132"/>
      <c r="K40" s="132"/>
    </row>
    <row r="41" spans="3:11" ht="12.75">
      <c r="C41" s="132"/>
      <c r="D41" s="132"/>
      <c r="E41" s="132"/>
      <c r="F41" s="132"/>
      <c r="G41" s="132"/>
      <c r="H41" s="132"/>
      <c r="I41" s="132"/>
      <c r="J41" s="132"/>
      <c r="K41" s="132"/>
    </row>
    <row r="42" spans="3:11" ht="12.75">
      <c r="C42" s="132"/>
      <c r="D42" s="132"/>
      <c r="E42" s="132"/>
      <c r="F42" s="132"/>
      <c r="G42" s="132"/>
      <c r="H42" s="132"/>
      <c r="I42" s="132"/>
      <c r="J42" s="132"/>
      <c r="K42" s="132"/>
    </row>
    <row r="43" spans="12:14" ht="15.75">
      <c r="L43" s="343"/>
      <c r="M43" s="343"/>
      <c r="N43" s="343"/>
    </row>
  </sheetData>
  <sheetProtection/>
  <mergeCells count="11">
    <mergeCell ref="G6:H6"/>
    <mergeCell ref="G7:H7"/>
    <mergeCell ref="J6:K6"/>
    <mergeCell ref="J7:K7"/>
    <mergeCell ref="L43:N43"/>
    <mergeCell ref="A6:B6"/>
    <mergeCell ref="A7:B7"/>
    <mergeCell ref="M6:N6"/>
    <mergeCell ref="M7:N7"/>
    <mergeCell ref="D6:E6"/>
    <mergeCell ref="D7:E7"/>
  </mergeCells>
  <printOptions horizontalCentered="1"/>
  <pageMargins left="0.5" right="0.3" top="1" bottom="1" header="0.5" footer="0.5"/>
  <pageSetup horizontalDpi="600" verticalDpi="600" orientation="landscape" scale="92" r:id="rId2"/>
  <drawing r:id="rId1"/>
</worksheet>
</file>

<file path=xl/worksheets/sheet11.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10.00390625" defaultRowHeight="15.75"/>
  <cols>
    <col min="1" max="4" width="10.00390625" style="85" customWidth="1"/>
    <col min="5" max="6" width="10.875" style="85" customWidth="1"/>
    <col min="7" max="8" width="10.00390625" style="85" customWidth="1"/>
    <col min="9" max="9" width="10.875" style="85" customWidth="1"/>
    <col min="10" max="16384" width="10.00390625" style="85" customWidth="1"/>
  </cols>
  <sheetData>
    <row r="1" ht="15">
      <c r="B1" s="96" t="s">
        <v>126</v>
      </c>
    </row>
    <row r="2" spans="5:8" ht="15">
      <c r="E2" s="97"/>
      <c r="F2" s="95"/>
      <c r="H2" s="95"/>
    </row>
    <row r="3" spans="5:8" ht="15">
      <c r="E3" s="97"/>
      <c r="F3" s="95"/>
      <c r="H3" s="95"/>
    </row>
    <row r="4" spans="5:8" ht="15">
      <c r="E4" s="97"/>
      <c r="F4" s="95"/>
      <c r="H4" s="95"/>
    </row>
    <row r="5" spans="5:8" ht="15">
      <c r="E5" s="97"/>
      <c r="F5" s="95"/>
      <c r="H5" s="95"/>
    </row>
    <row r="6" spans="5:8" ht="15">
      <c r="E6" s="97"/>
      <c r="F6" s="95"/>
      <c r="H6" s="95"/>
    </row>
    <row r="7" spans="8:9" ht="15">
      <c r="H7" s="95"/>
      <c r="I7" s="95"/>
    </row>
    <row r="8" ht="15">
      <c r="H8" s="95"/>
    </row>
    <row r="9" spans="1:4" ht="15">
      <c r="A9" s="95"/>
      <c r="C9" s="95" t="s">
        <v>123</v>
      </c>
      <c r="D9" s="95" t="s">
        <v>125</v>
      </c>
    </row>
    <row r="10" spans="3:4" ht="15">
      <c r="C10" s="95" t="s">
        <v>122</v>
      </c>
      <c r="D10" s="95" t="s">
        <v>124</v>
      </c>
    </row>
    <row r="11" spans="1:4" ht="15">
      <c r="A11" s="95"/>
      <c r="C11" s="95"/>
      <c r="D11" s="95"/>
    </row>
    <row r="12" spans="3:4" ht="15">
      <c r="C12" s="95"/>
      <c r="D12" s="95"/>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P88"/>
  <sheetViews>
    <sheetView showGridLines="0" zoomScale="75" zoomScaleNormal="75" workbookViewId="0" topLeftCell="A1">
      <selection activeCell="J14" sqref="J14"/>
    </sheetView>
  </sheetViews>
  <sheetFormatPr defaultColWidth="9.625" defaultRowHeight="15.75"/>
  <cols>
    <col min="1" max="1" width="2.625" style="0" customWidth="1"/>
    <col min="2" max="2" width="31.00390625" style="0" bestFit="1" customWidth="1"/>
    <col min="3" max="3" width="20.50390625" style="0" customWidth="1"/>
    <col min="4" max="4" width="16.125" style="0" customWidth="1"/>
    <col min="5" max="5" width="8.75390625" style="0"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8.125" style="161" bestFit="1" customWidth="1"/>
    <col min="12" max="12" width="10.125" style="180" bestFit="1" customWidth="1"/>
    <col min="13" max="13" width="14.625" style="0" customWidth="1"/>
    <col min="14" max="14" width="2.625" style="0" customWidth="1"/>
  </cols>
  <sheetData>
    <row r="1" spans="1:11" ht="18.75">
      <c r="A1" s="17" t="s">
        <v>0</v>
      </c>
      <c r="B1" s="18"/>
      <c r="C1" s="18"/>
      <c r="D1" s="18"/>
      <c r="E1" s="18"/>
      <c r="F1" s="18"/>
      <c r="G1" s="18"/>
      <c r="H1" s="18"/>
      <c r="I1" s="18"/>
      <c r="J1" s="19"/>
      <c r="K1" s="147"/>
    </row>
    <row r="2" spans="1:12" ht="18.75">
      <c r="A2" s="17" t="s">
        <v>187</v>
      </c>
      <c r="B2" s="18"/>
      <c r="C2" s="18"/>
      <c r="D2" s="18"/>
      <c r="E2" s="18"/>
      <c r="F2" s="18"/>
      <c r="G2" s="18"/>
      <c r="H2" s="18"/>
      <c r="I2" s="18"/>
      <c r="J2" s="19"/>
      <c r="K2" s="147"/>
      <c r="L2" s="168"/>
    </row>
    <row r="3" spans="1:13" ht="9.75" customHeight="1">
      <c r="A3" s="10" t="s">
        <v>1</v>
      </c>
      <c r="B3" s="1"/>
      <c r="J3" s="11" t="s">
        <v>1</v>
      </c>
      <c r="K3" s="148"/>
      <c r="L3" s="169"/>
      <c r="M3" s="8"/>
    </row>
    <row r="4" spans="1:15" ht="15.75">
      <c r="A4" s="22" t="s">
        <v>2</v>
      </c>
      <c r="B4" s="1"/>
      <c r="D4" s="10" t="s">
        <v>69</v>
      </c>
      <c r="G4" s="3"/>
      <c r="I4" s="192" t="s">
        <v>69</v>
      </c>
      <c r="J4" s="20" t="s">
        <v>3</v>
      </c>
      <c r="K4" s="307" t="s">
        <v>69</v>
      </c>
      <c r="L4" s="308"/>
      <c r="M4" s="308"/>
      <c r="N4" s="308"/>
      <c r="O4" s="309"/>
    </row>
    <row r="5" spans="1:15" ht="18.75" customHeight="1">
      <c r="A5" s="22" t="s">
        <v>4</v>
      </c>
      <c r="B5" s="1"/>
      <c r="D5" s="10" t="s">
        <v>69</v>
      </c>
      <c r="E5" s="3"/>
      <c r="F5" s="3"/>
      <c r="H5" s="38"/>
      <c r="I5" s="194"/>
      <c r="K5" s="310"/>
      <c r="L5" s="311"/>
      <c r="M5" s="311"/>
      <c r="N5" s="311"/>
      <c r="O5" s="312"/>
    </row>
    <row r="6" spans="1:13" ht="15.75">
      <c r="A6" s="14"/>
      <c r="B6" s="22" t="s">
        <v>5</v>
      </c>
      <c r="D6" s="73">
        <f>'RATES-Non Fed'!E2</f>
        <v>44013</v>
      </c>
      <c r="E6" s="12" t="s">
        <v>6</v>
      </c>
      <c r="F6" s="12"/>
      <c r="G6" s="73">
        <f>'RATES-Non Fed'!G2</f>
        <v>46203</v>
      </c>
      <c r="H6" s="4"/>
      <c r="I6" s="4"/>
      <c r="J6" s="2"/>
      <c r="K6" s="149"/>
      <c r="L6" s="170"/>
      <c r="M6" s="8"/>
    </row>
    <row r="7" spans="5:14" ht="7.5" customHeight="1">
      <c r="E7" s="3"/>
      <c r="F7" s="3"/>
      <c r="G7" s="1"/>
      <c r="H7" s="1"/>
      <c r="I7" s="1"/>
      <c r="J7" s="16" t="s">
        <v>1</v>
      </c>
      <c r="K7" s="148"/>
      <c r="L7" s="169"/>
      <c r="M7" s="8"/>
      <c r="N7" s="1"/>
    </row>
    <row r="8" spans="1:14" ht="15.75">
      <c r="A8" s="21"/>
      <c r="B8" s="140" t="s">
        <v>10</v>
      </c>
      <c r="C8" s="21"/>
      <c r="D8" s="21"/>
      <c r="E8" s="21"/>
      <c r="F8" s="21"/>
      <c r="G8" s="21"/>
      <c r="H8" s="21"/>
      <c r="I8" s="21"/>
      <c r="J8" s="304" t="s">
        <v>21</v>
      </c>
      <c r="K8" s="305"/>
      <c r="L8" s="306"/>
      <c r="M8" s="166" t="s">
        <v>8</v>
      </c>
      <c r="N8" s="21"/>
    </row>
    <row r="9" spans="1:14" s="142" customFormat="1" ht="15.75">
      <c r="A9" s="140" t="s">
        <v>9</v>
      </c>
      <c r="B9" s="33" t="s">
        <v>220</v>
      </c>
      <c r="C9" s="140"/>
      <c r="D9" s="140"/>
      <c r="E9" s="140"/>
      <c r="F9" s="140"/>
      <c r="G9" s="140"/>
      <c r="H9" s="140"/>
      <c r="I9" s="140"/>
      <c r="J9" s="184" t="s">
        <v>180</v>
      </c>
      <c r="K9" s="150" t="s">
        <v>181</v>
      </c>
      <c r="L9" s="140" t="s">
        <v>182</v>
      </c>
      <c r="M9" s="141"/>
      <c r="N9" s="140"/>
    </row>
    <row r="10" spans="1:14" ht="15.75">
      <c r="A10" s="1"/>
      <c r="C10" s="24"/>
      <c r="D10" s="24" t="s">
        <v>99</v>
      </c>
      <c r="E10" s="1" t="s">
        <v>12</v>
      </c>
      <c r="F10" s="41" t="s">
        <v>121</v>
      </c>
      <c r="G10" s="41" t="s">
        <v>13</v>
      </c>
      <c r="H10" s="1"/>
      <c r="I10" s="1"/>
      <c r="J10" s="185"/>
      <c r="K10" s="148"/>
      <c r="L10" s="138"/>
      <c r="M10" s="2">
        <f>IF(SUM(J10:L10)=0,"",SUM(J10:L10))</f>
      </c>
      <c r="N10" s="1"/>
    </row>
    <row r="11" spans="1:14" ht="15.75">
      <c r="A11" s="1"/>
      <c r="B11" s="1" t="s">
        <v>14</v>
      </c>
      <c r="C11" s="10"/>
      <c r="D11" s="135" t="s">
        <v>123</v>
      </c>
      <c r="E11" s="70">
        <v>0</v>
      </c>
      <c r="F11" s="94">
        <f aca="true" t="shared" si="0" ref="F11:F17">IF(D11="CAL",(52*E11/4.3333),(IF(D11="ACAD",(36.35*E11/4.33333),IF(D11="SUMR",(15.65*E11/4.33333),IF(D11="PT",(0),0)))))</f>
        <v>0</v>
      </c>
      <c r="G11" s="69">
        <v>0</v>
      </c>
      <c r="J11" s="182">
        <f>IF($D11="CAL",ROUND(($G11*(1+'Salary Inflation'!$B$35))*$E11,0),IF($D11="ACAD",($G11/0.9965)*(1+'Salary Inflation'!$O$46)*$E11,IF($D11="SUMR",($G11)*(1+'Salary Inflation'!$O$47)*$E11,"NA")))</f>
        <v>0</v>
      </c>
      <c r="K11" s="151">
        <f>IF(D11="CAL",ROUND(J11*'RATES-Non Fed'!$E$38,0),IF(D11="ACAD",J11*'RATES-Non Fed'!$E$44,J11*'RATES-Non Fed'!$E$45))</f>
        <v>0</v>
      </c>
      <c r="L11" s="67">
        <f>ROUND(K11+J11,0)</f>
        <v>0</v>
      </c>
      <c r="M11" s="42">
        <f>SUM(L11)</f>
        <v>0</v>
      </c>
      <c r="N11" s="1"/>
    </row>
    <row r="12" spans="1:14" ht="15.75">
      <c r="A12" s="1"/>
      <c r="B12" s="1" t="s">
        <v>14</v>
      </c>
      <c r="C12" s="3"/>
      <c r="D12" s="135" t="s">
        <v>257</v>
      </c>
      <c r="E12" s="70">
        <v>0</v>
      </c>
      <c r="F12" s="94">
        <f t="shared" si="0"/>
        <v>0</v>
      </c>
      <c r="G12" s="69">
        <f>IF(D11="ACAD",+G11*0.428,0)</f>
        <v>0</v>
      </c>
      <c r="J12" s="182">
        <f>IF($D12="CAL",ROUND(($G12*(1+'Salary Inflation'!$B$35))*$E12,0),IF($D12="ACAD",($G12/0.9965)*(1+'Salary Inflation'!$O$46)*$E12,IF($D12="SUMR",($G12)*(1+'Salary Inflation'!$O$47)*$E12,"NA")))</f>
        <v>0</v>
      </c>
      <c r="K12" s="151">
        <f>IF(D12="CAL",ROUND(J12*'RATES-Non Fed'!$E$38,0),IF(D12="ACAD",J12*'RATES-Non Fed'!$E$44,J12*'RATES-Non Fed'!$E$45))</f>
        <v>0</v>
      </c>
      <c r="L12" s="67">
        <f aca="true" t="shared" si="1" ref="L12:L17">ROUND(K12+J12,0)</f>
        <v>0</v>
      </c>
      <c r="M12" s="42">
        <f aca="true" t="shared" si="2" ref="M12:M17">SUM(L12)</f>
        <v>0</v>
      </c>
      <c r="N12" s="1"/>
    </row>
    <row r="13" spans="1:14" ht="15.75">
      <c r="A13" s="1"/>
      <c r="B13" s="1" t="s">
        <v>15</v>
      </c>
      <c r="C13" s="3"/>
      <c r="D13" s="135" t="s">
        <v>123</v>
      </c>
      <c r="E13" s="70">
        <v>0</v>
      </c>
      <c r="F13" s="94">
        <f t="shared" si="0"/>
        <v>0</v>
      </c>
      <c r="G13" s="69">
        <v>0</v>
      </c>
      <c r="J13" s="182">
        <f>IF($D13="CAL",ROUND(($G13*(1+'Salary Inflation'!$B$35))*$E13,0),IF($D13="ACAD",($G13/0.9965)*(1+'Salary Inflation'!$O$46)*$E13,IF($D13="SUMR",($G13)*(1+'Salary Inflation'!$O$47)*$E13,"NA")))</f>
        <v>0</v>
      </c>
      <c r="K13" s="151">
        <f>IF(D13="CAL",ROUND(J13*'RATES-Non Fed'!$E$38,0),IF(D13="ACAD",J13*'RATES-Non Fed'!$E$44,J13*'RATES-Non Fed'!$E$45))</f>
        <v>0</v>
      </c>
      <c r="L13" s="67">
        <f t="shared" si="1"/>
        <v>0</v>
      </c>
      <c r="M13" s="42">
        <f t="shared" si="2"/>
        <v>0</v>
      </c>
      <c r="N13" s="1"/>
    </row>
    <row r="14" spans="1:13" ht="15.75">
      <c r="A14" s="1"/>
      <c r="B14" s="1"/>
      <c r="C14" s="3"/>
      <c r="D14" s="135" t="str">
        <f>IF(D13="ACAD",("SUMR"),"")</f>
        <v>SUMR</v>
      </c>
      <c r="E14" s="70">
        <v>0</v>
      </c>
      <c r="F14" s="94">
        <f t="shared" si="0"/>
        <v>0</v>
      </c>
      <c r="G14" s="69">
        <f>IF(D13="ACAD",+G13*0.428,0)</f>
        <v>0</v>
      </c>
      <c r="J14" s="182">
        <f>IF($D14="CAL",ROUND(($G14*(1+'Salary Inflation'!$B$35))*$E14,0),IF($D14="ACAD",($G14/0.9965)*(1+'Salary Inflation'!$O$46)*$E14,IF($D14="SUMR",($G14)*(1+'Salary Inflation'!$O$47)*$E14,"NA")))</f>
        <v>0</v>
      </c>
      <c r="K14" s="151">
        <f>IF(D14="CAL",ROUND(J14*'RATES-Non Fed'!$E$38,0),IF(D14="ACAD",J14*'RATES-Non Fed'!$E$44,J14*'RATES-Non Fed'!$E$45))</f>
        <v>0</v>
      </c>
      <c r="L14" s="67">
        <f t="shared" si="1"/>
        <v>0</v>
      </c>
      <c r="M14" s="42">
        <f t="shared" si="2"/>
        <v>0</v>
      </c>
    </row>
    <row r="15" spans="1:14" ht="15.75">
      <c r="A15" s="1"/>
      <c r="B15" s="1" t="s">
        <v>15</v>
      </c>
      <c r="C15" s="3"/>
      <c r="D15" s="135" t="s">
        <v>122</v>
      </c>
      <c r="E15" s="70">
        <v>0</v>
      </c>
      <c r="F15" s="94">
        <f t="shared" si="0"/>
        <v>0</v>
      </c>
      <c r="G15" s="69">
        <v>0</v>
      </c>
      <c r="J15" s="182">
        <f>IF($D15="CAL",ROUND(($G15*(1+'Salary Inflation'!$B$35))*$E15,0),IF($D15="ACAD",($G15/0.9965)*(1+'Salary Inflation'!$O$46)*$E15,IF($D15="SUMR",($G15)*(1+'Salary Inflation'!$O$47)*$E15,"NA")))</f>
        <v>0</v>
      </c>
      <c r="K15" s="151">
        <f>IF(D15="CAL",ROUND(J15*'RATES-Non Fed'!$E$38,0),IF(D15="ACAD",J15*'RATES-Non Fed'!$E$44,J15*'RATES-Non Fed'!$E$45))</f>
        <v>0</v>
      </c>
      <c r="L15" s="67">
        <f t="shared" si="1"/>
        <v>0</v>
      </c>
      <c r="M15" s="42">
        <f t="shared" si="2"/>
        <v>0</v>
      </c>
      <c r="N15" s="1"/>
    </row>
    <row r="16" spans="1:14" ht="15.75">
      <c r="A16" s="1"/>
      <c r="B16" s="1" t="s">
        <v>15</v>
      </c>
      <c r="C16" s="3"/>
      <c r="D16" s="135" t="s">
        <v>122</v>
      </c>
      <c r="E16" s="70">
        <v>0</v>
      </c>
      <c r="F16" s="94">
        <f t="shared" si="0"/>
        <v>0</v>
      </c>
      <c r="G16" s="69">
        <v>0</v>
      </c>
      <c r="J16" s="182">
        <f>IF($D16="CAL",ROUND(($G16*(1+'Salary Inflation'!$B$35))*$E16,0),IF($D16="ACAD",($G16/0.9965)*(1+'Salary Inflation'!$O$46)*$E16,IF($D16="SUMR",($G16)*(1+'Salary Inflation'!$O$47)*$E16,"NA")))</f>
        <v>0</v>
      </c>
      <c r="K16" s="151">
        <f>IF(D16="CAL",ROUND(J16*'RATES-Non Fed'!$E$38,0),IF(D16="ACAD",J16*'RATES-Non Fed'!$E$44,J16*'RATES-Non Fed'!$E$45))</f>
        <v>0</v>
      </c>
      <c r="L16" s="67">
        <f t="shared" si="1"/>
        <v>0</v>
      </c>
      <c r="M16" s="42">
        <f t="shared" si="2"/>
        <v>0</v>
      </c>
      <c r="N16" s="1"/>
    </row>
    <row r="17" spans="1:13" ht="15.75">
      <c r="A17" s="1"/>
      <c r="B17" s="1" t="s">
        <v>15</v>
      </c>
      <c r="C17" s="3"/>
      <c r="D17" s="135" t="s">
        <v>122</v>
      </c>
      <c r="E17" s="70">
        <v>0</v>
      </c>
      <c r="F17" s="94">
        <f t="shared" si="0"/>
        <v>0</v>
      </c>
      <c r="G17" s="69">
        <v>0</v>
      </c>
      <c r="J17" s="182">
        <f>IF($D17="CAL",ROUND(($G17*(1+'Salary Inflation'!$B$35))*$E17,0),IF($D17="ACAD",($G17/0.9965)*(1+'Salary Inflation'!$O$46)*$E17,IF($D17="SUMR",($G17)*(1+'Salary Inflation'!$O$47)*$E17,"NA")))</f>
        <v>0</v>
      </c>
      <c r="K17" s="151">
        <f>IF(D17="CAL",ROUND(J17*'RATES-Non Fed'!$E$38,0),IF(D17="ACAD",J17*'RATES-Non Fed'!$E$44,J17*'RATES-Non Fed'!$E$45))</f>
        <v>0</v>
      </c>
      <c r="L17" s="201">
        <f t="shared" si="1"/>
        <v>0</v>
      </c>
      <c r="M17" s="198">
        <f t="shared" si="2"/>
        <v>0</v>
      </c>
    </row>
    <row r="18" spans="1:14" ht="15.75">
      <c r="A18" s="1"/>
      <c r="B18" s="1"/>
      <c r="C18" s="263"/>
      <c r="D18" s="25" t="s">
        <v>221</v>
      </c>
      <c r="E18" s="26"/>
      <c r="F18" s="94"/>
      <c r="G18" s="1"/>
      <c r="H18" s="1"/>
      <c r="I18" s="1"/>
      <c r="J18" s="199">
        <f>SUM(J11:J17)</f>
        <v>0</v>
      </c>
      <c r="K18" s="152">
        <f>SUM(K11:K17)</f>
        <v>0</v>
      </c>
      <c r="L18" s="46">
        <f>SUM(L11:L17)</f>
        <v>0</v>
      </c>
      <c r="M18" s="42">
        <f>SUM(M11:M17)</f>
        <v>0</v>
      </c>
      <c r="N18" s="6"/>
    </row>
    <row r="19" spans="1:14" ht="15.75">
      <c r="A19" s="263" t="s">
        <v>217</v>
      </c>
      <c r="B19" s="21" t="s">
        <v>218</v>
      </c>
      <c r="C19" s="1"/>
      <c r="D19" s="25"/>
      <c r="E19" s="26"/>
      <c r="F19" s="26"/>
      <c r="G19" s="1"/>
      <c r="H19" s="1"/>
      <c r="I19" s="1"/>
      <c r="J19" s="199"/>
      <c r="K19" s="152"/>
      <c r="L19" s="46"/>
      <c r="M19" s="42"/>
      <c r="N19" s="6"/>
    </row>
    <row r="20" spans="1:14" ht="15.75">
      <c r="A20" s="1"/>
      <c r="B20" s="1" t="s">
        <v>14</v>
      </c>
      <c r="C20" s="3"/>
      <c r="D20" s="135" t="s">
        <v>122</v>
      </c>
      <c r="E20" s="70">
        <v>0</v>
      </c>
      <c r="F20" s="94">
        <f>IF(D20="CAL",(52*E20/4.3333),(IF(D20="ACAD",(32*E20/4.33333),IF(D20="SUMR",(14*E20/4.33333),IF(D20="PT",(0),0)))))</f>
        <v>0</v>
      </c>
      <c r="G20" s="69">
        <v>0</v>
      </c>
      <c r="J20" s="182">
        <f>ROUND(($G20*(1+'Salary Inflation'!$B$39))*$E20,0)</f>
        <v>0</v>
      </c>
      <c r="K20" s="151">
        <f>ROUND(J20*'RATES-Non Fed'!E40,0)</f>
        <v>0</v>
      </c>
      <c r="L20" s="67">
        <f>ROUND(K20+J20,0)</f>
        <v>0</v>
      </c>
      <c r="M20" s="42">
        <f>SUM(L20)</f>
        <v>0</v>
      </c>
      <c r="N20" s="1"/>
    </row>
    <row r="21" spans="1:14" ht="15.75">
      <c r="A21" s="1"/>
      <c r="B21" s="1" t="s">
        <v>15</v>
      </c>
      <c r="C21" s="3"/>
      <c r="D21" s="135" t="s">
        <v>122</v>
      </c>
      <c r="E21" s="70">
        <v>0</v>
      </c>
      <c r="F21" s="94">
        <f>IF(D21="CAL",(52*E21/4.3333),(IF(D21="ACAD",(32*E21/4.33333),IF(D21="SUMR",(14*E21/4.33333),IF(D21="PT",(0),0)))))</f>
        <v>0</v>
      </c>
      <c r="G21" s="69">
        <v>0</v>
      </c>
      <c r="J21" s="182">
        <f>ROUND(($G21*(1+'Salary Inflation'!$B$39))*$E21,0)</f>
        <v>0</v>
      </c>
      <c r="K21" s="151">
        <f>ROUND(J21*'RATES-Non Fed'!E40,0)</f>
        <v>0</v>
      </c>
      <c r="L21" s="67">
        <f>ROUND(K21+J21,0)</f>
        <v>0</v>
      </c>
      <c r="M21" s="42">
        <f>SUM(L21)</f>
        <v>0</v>
      </c>
      <c r="N21" s="1"/>
    </row>
    <row r="22" spans="1:14" ht="15.75">
      <c r="A22" s="1"/>
      <c r="B22" s="1" t="s">
        <v>15</v>
      </c>
      <c r="C22" s="3"/>
      <c r="D22" s="135" t="s">
        <v>122</v>
      </c>
      <c r="E22" s="70">
        <v>0</v>
      </c>
      <c r="F22" s="94">
        <f>IF(D22="CAL",(52*E22/4.3333),(IF(D22="ACAD",(32*E22/4.33333),IF(D22="SUMR",(14*E22/4.33333),IF(D22="PT",(0),0)))))</f>
        <v>0</v>
      </c>
      <c r="G22" s="69">
        <v>0</v>
      </c>
      <c r="J22" s="182">
        <f>ROUND(($G22*(1+'Salary Inflation'!$B$39))*$E22,0)</f>
        <v>0</v>
      </c>
      <c r="K22" s="151">
        <f>ROUND(J22*'RATES-Non Fed'!E40,0)</f>
        <v>0</v>
      </c>
      <c r="L22" s="67">
        <f>ROUND(K22+J22,0)</f>
        <v>0</v>
      </c>
      <c r="M22" s="42">
        <f>SUM(L22)</f>
        <v>0</v>
      </c>
      <c r="N22" s="1"/>
    </row>
    <row r="23" spans="1:13" ht="15.75">
      <c r="A23" s="1"/>
      <c r="B23" s="1" t="s">
        <v>15</v>
      </c>
      <c r="C23" s="3"/>
      <c r="D23" s="135" t="s">
        <v>122</v>
      </c>
      <c r="E23" s="70">
        <v>0</v>
      </c>
      <c r="F23" s="94">
        <f>IF(D23="CAL",(52*E23/4.3333),(IF(D23="ACAD",(32*E23/4.33333),IF(D23="SUMR",(14*E23/4.33333),IF(D23="PT",(0),0)))))</f>
        <v>0</v>
      </c>
      <c r="G23" s="69">
        <v>0</v>
      </c>
      <c r="J23" s="195">
        <f>ROUND(($G23*(1+'Salary Inflation'!$B$39))*$E23,0)</f>
        <v>0</v>
      </c>
      <c r="K23" s="200">
        <f>ROUND(J23*'RATES-Non Fed'!E40,0)</f>
        <v>0</v>
      </c>
      <c r="L23" s="201">
        <f>ROUND(K23+J23,0)</f>
        <v>0</v>
      </c>
      <c r="M23" s="198">
        <f>SUM(L23)</f>
        <v>0</v>
      </c>
    </row>
    <row r="24" spans="1:14" ht="15.75">
      <c r="A24" s="1"/>
      <c r="B24" s="1"/>
      <c r="C24" s="1"/>
      <c r="D24" s="25" t="s">
        <v>222</v>
      </c>
      <c r="E24" s="26"/>
      <c r="F24" s="26"/>
      <c r="G24" s="1"/>
      <c r="H24" s="1"/>
      <c r="I24" s="1"/>
      <c r="J24" s="199">
        <f>SUM(J20:J23)</f>
        <v>0</v>
      </c>
      <c r="K24" s="152">
        <f>SUM(K20:K23)</f>
        <v>0</v>
      </c>
      <c r="L24" s="46">
        <f>SUM(L20:L23)</f>
        <v>0</v>
      </c>
      <c r="M24" s="42">
        <f>SUM(M20:M23)</f>
        <v>0</v>
      </c>
      <c r="N24" s="6"/>
    </row>
    <row r="25" spans="1:14" ht="7.5" customHeight="1">
      <c r="A25" s="1"/>
      <c r="B25" s="1"/>
      <c r="C25" s="1"/>
      <c r="D25" s="26"/>
      <c r="E25" s="26"/>
      <c r="F25" s="26"/>
      <c r="G25" s="1"/>
      <c r="H25" s="1"/>
      <c r="I25" s="1"/>
      <c r="J25" s="187"/>
      <c r="K25" s="152"/>
      <c r="L25" s="46"/>
      <c r="M25" s="42"/>
      <c r="N25" s="6"/>
    </row>
    <row r="26" spans="1:14" ht="15.75">
      <c r="A26" s="22" t="s">
        <v>219</v>
      </c>
      <c r="B26" s="22" t="s">
        <v>17</v>
      </c>
      <c r="C26" s="1"/>
      <c r="D26" s="26"/>
      <c r="E26" s="1"/>
      <c r="F26" s="1"/>
      <c r="G26" s="41"/>
      <c r="H26" s="1"/>
      <c r="I26" s="1"/>
      <c r="J26" s="185"/>
      <c r="K26" s="148"/>
      <c r="L26" s="138"/>
      <c r="M26" s="42"/>
      <c r="N26" s="6"/>
    </row>
    <row r="27" spans="1:14" ht="15.75">
      <c r="A27" s="1"/>
      <c r="C27" s="13" t="s">
        <v>86</v>
      </c>
      <c r="D27" s="41" t="s">
        <v>119</v>
      </c>
      <c r="E27" s="68"/>
      <c r="F27" s="68"/>
      <c r="G27" s="59"/>
      <c r="J27" s="182"/>
      <c r="K27" s="153"/>
      <c r="L27" s="50"/>
      <c r="M27" s="42"/>
      <c r="N27" s="5"/>
    </row>
    <row r="28" spans="1:14" ht="15.75">
      <c r="A28" s="1"/>
      <c r="C28" s="13"/>
      <c r="D28" s="1"/>
      <c r="E28" s="70">
        <v>0</v>
      </c>
      <c r="F28" s="93">
        <f>SUM(52*E28/4.3333)</f>
        <v>0</v>
      </c>
      <c r="G28" s="69">
        <v>0</v>
      </c>
      <c r="J28" s="182">
        <f>ROUND(($G28*(1+'Salary Inflation'!$B$38))*$E28,0)</f>
        <v>0</v>
      </c>
      <c r="K28" s="153">
        <f>ROUND(J28*'RATES-Non Fed'!E39,0)</f>
        <v>0</v>
      </c>
      <c r="L28" s="50">
        <f>SUM(J28:K28)</f>
        <v>0</v>
      </c>
      <c r="M28" s="42">
        <f>SUM(L28)</f>
        <v>0</v>
      </c>
      <c r="N28" s="5"/>
    </row>
    <row r="29" spans="1:14" ht="15.75">
      <c r="A29" s="1"/>
      <c r="C29" s="13"/>
      <c r="D29" s="1"/>
      <c r="E29" s="70">
        <v>0</v>
      </c>
      <c r="F29" s="93">
        <f>SUM(52*E29/4.3333)</f>
        <v>0</v>
      </c>
      <c r="G29" s="69">
        <v>0</v>
      </c>
      <c r="J29" s="182">
        <f>ROUND(($G29*(1+'Salary Inflation'!$B$38))*$E29,0)</f>
        <v>0</v>
      </c>
      <c r="K29" s="153">
        <f>ROUND(J29*'RATES-Non Fed'!E39,0)</f>
        <v>0</v>
      </c>
      <c r="L29" s="50">
        <f>SUM(J29:K29)</f>
        <v>0</v>
      </c>
      <c r="M29" s="42">
        <f>SUM(L29)</f>
        <v>0</v>
      </c>
      <c r="N29" s="5"/>
    </row>
    <row r="30" spans="1:14" ht="15.75">
      <c r="A30" s="1"/>
      <c r="C30" s="13"/>
      <c r="D30" s="1"/>
      <c r="E30" s="70">
        <v>0</v>
      </c>
      <c r="F30" s="93">
        <f>SUM(52*E30/4.3333)</f>
        <v>0</v>
      </c>
      <c r="G30" s="69">
        <v>0</v>
      </c>
      <c r="J30" s="182">
        <f>ROUND(($G30*(1+'Salary Inflation'!$B$38))*$E30,0)</f>
        <v>0</v>
      </c>
      <c r="K30" s="153">
        <f>ROUND(J30*'RATES-Non Fed'!E39,0)</f>
        <v>0</v>
      </c>
      <c r="L30" s="50">
        <f>SUM(J30:K30)</f>
        <v>0</v>
      </c>
      <c r="M30" s="42">
        <f>SUM(L30)</f>
        <v>0</v>
      </c>
      <c r="N30" s="5"/>
    </row>
    <row r="31" spans="1:14" ht="15.75">
      <c r="A31" s="1"/>
      <c r="C31" s="13"/>
      <c r="D31" s="1"/>
      <c r="E31" s="70">
        <v>0</v>
      </c>
      <c r="F31" s="93">
        <f>SUM(52*E31/4.3333)</f>
        <v>0</v>
      </c>
      <c r="G31" s="69">
        <v>0</v>
      </c>
      <c r="J31" s="195">
        <f>ROUND(($G31*(1+'Salary Inflation'!$B$38))*$E31,0)</f>
        <v>0</v>
      </c>
      <c r="K31" s="196">
        <f>ROUND(J31*'RATES-Non Fed'!E39,0)</f>
        <v>0</v>
      </c>
      <c r="L31" s="197">
        <f>SUM(J31:K31)</f>
        <v>0</v>
      </c>
      <c r="M31" s="198">
        <f>SUM(L31)</f>
        <v>0</v>
      </c>
      <c r="N31" s="5"/>
    </row>
    <row r="32" spans="1:14" ht="15.75">
      <c r="A32" s="1"/>
      <c r="C32" s="13"/>
      <c r="D32" s="1" t="s">
        <v>120</v>
      </c>
      <c r="E32" s="70"/>
      <c r="F32" s="70"/>
      <c r="G32" s="69"/>
      <c r="J32" s="182">
        <f>SUM(J28:J31)</f>
        <v>0</v>
      </c>
      <c r="K32" s="153">
        <f>SUM(K28:K31)</f>
        <v>0</v>
      </c>
      <c r="L32" s="50">
        <f>SUM(L28:L31)</f>
        <v>0</v>
      </c>
      <c r="M32" s="42">
        <f>SUM(M28:M31)</f>
        <v>0</v>
      </c>
      <c r="N32" s="5"/>
    </row>
    <row r="33" spans="1:14" ht="9.75" customHeight="1">
      <c r="A33" s="1"/>
      <c r="C33" s="13"/>
      <c r="D33" s="1"/>
      <c r="E33" s="70"/>
      <c r="F33" s="70"/>
      <c r="G33" s="69"/>
      <c r="J33" s="182"/>
      <c r="K33" s="153"/>
      <c r="L33" s="50"/>
      <c r="M33" s="42"/>
      <c r="N33" s="5"/>
    </row>
    <row r="34" spans="1:14" ht="15.75">
      <c r="A34" s="1"/>
      <c r="C34" s="13" t="s">
        <v>87</v>
      </c>
      <c r="D34" s="1"/>
      <c r="E34" s="70">
        <v>0</v>
      </c>
      <c r="F34" s="93">
        <f>SUM(52*E34/4.3333)</f>
        <v>0</v>
      </c>
      <c r="G34" s="69">
        <v>0</v>
      </c>
      <c r="J34" s="182">
        <f>ROUND(($G34*(1+'Salary Inflation'!$B$38))*$E34,0)</f>
        <v>0</v>
      </c>
      <c r="K34" s="153">
        <f>ROUND(J34*'RATES-Non Fed'!E43,0)</f>
        <v>0</v>
      </c>
      <c r="L34" s="50">
        <f>SUM(J34:K34)</f>
        <v>0</v>
      </c>
      <c r="M34" s="42">
        <f>SUM(L34)</f>
        <v>0</v>
      </c>
      <c r="N34" s="5"/>
    </row>
    <row r="35" spans="1:14" ht="15.75">
      <c r="A35" s="1"/>
      <c r="C35" s="13" t="s">
        <v>18</v>
      </c>
      <c r="D35" s="1"/>
      <c r="E35" s="70">
        <v>0</v>
      </c>
      <c r="F35" s="93">
        <f>SUM(52*E35/4.3333)</f>
        <v>0</v>
      </c>
      <c r="G35" s="69">
        <v>0</v>
      </c>
      <c r="J35" s="182">
        <f>ROUND(($G35*(1+'Salary Inflation'!$B$38))*$E35,0)</f>
        <v>0</v>
      </c>
      <c r="K35" s="153">
        <f>ROUND(J35*'RATES-Non Fed'!E42,0)</f>
        <v>0</v>
      </c>
      <c r="L35" s="50">
        <f>SUM(J35:K35)</f>
        <v>0</v>
      </c>
      <c r="M35" s="42">
        <f>SUM(L35)</f>
        <v>0</v>
      </c>
      <c r="N35" s="5"/>
    </row>
    <row r="36" spans="1:14" ht="15.75">
      <c r="A36" s="1"/>
      <c r="C36" s="13" t="s">
        <v>19</v>
      </c>
      <c r="D36" s="1"/>
      <c r="E36" s="70">
        <v>0</v>
      </c>
      <c r="F36" s="93">
        <f>SUM(52*E36/4.3333)</f>
        <v>0</v>
      </c>
      <c r="G36" s="69">
        <v>0</v>
      </c>
      <c r="J36" s="182">
        <f>ROUND(($G36*(1+'Salary Inflation'!$B$38))*$E36,0)</f>
        <v>0</v>
      </c>
      <c r="K36" s="153">
        <f>ROUND(J36*'RATES-Non Fed'!E42,0)</f>
        <v>0</v>
      </c>
      <c r="L36" s="50">
        <f>SUM(J36:K36)</f>
        <v>0</v>
      </c>
      <c r="M36" s="42">
        <f>SUM(L36)</f>
        <v>0</v>
      </c>
      <c r="N36" s="5"/>
    </row>
    <row r="37" spans="1:14" s="90" customFormat="1" ht="15.75">
      <c r="A37" s="138"/>
      <c r="C37" s="137" t="s">
        <v>20</v>
      </c>
      <c r="D37" s="138"/>
      <c r="E37" s="70">
        <v>0</v>
      </c>
      <c r="F37" s="93">
        <f>SUM(52*E37/4.3333)</f>
        <v>0</v>
      </c>
      <c r="G37" s="69">
        <v>0</v>
      </c>
      <c r="J37" s="182">
        <f>ROUND(($G37*(1+'Salary Inflation'!$B$38))*$E37,0)</f>
        <v>0</v>
      </c>
      <c r="K37" s="153">
        <f>ROUND(J37*'RATES-Non Fed'!E43,0)</f>
        <v>0</v>
      </c>
      <c r="L37" s="50">
        <f>SUM(J37:K37)</f>
        <v>0</v>
      </c>
      <c r="M37" s="42">
        <f>SUM(L37)</f>
        <v>0</v>
      </c>
      <c r="N37" s="145"/>
    </row>
    <row r="38" spans="1:14" s="90" customFormat="1" ht="15.75">
      <c r="A38" s="138"/>
      <c r="C38" s="137" t="s">
        <v>88</v>
      </c>
      <c r="D38" s="138"/>
      <c r="E38" s="70">
        <v>0</v>
      </c>
      <c r="F38" s="93">
        <f>SUM(52*E38/4.3333)</f>
        <v>0</v>
      </c>
      <c r="G38" s="69">
        <v>0</v>
      </c>
      <c r="J38" s="195">
        <f>ROUND(($G38*(1+'Salary Inflation'!$B$38))*$E38,0)</f>
        <v>0</v>
      </c>
      <c r="K38" s="196">
        <f>ROUND(J38*'RATES-Non Fed'!E41,0)</f>
        <v>0</v>
      </c>
      <c r="L38" s="197">
        <f>SUM(J38:K38)</f>
        <v>0</v>
      </c>
      <c r="M38" s="198">
        <f>SUM(L38)</f>
        <v>0</v>
      </c>
      <c r="N38" s="145"/>
    </row>
    <row r="39" spans="1:14" ht="15.75">
      <c r="A39" s="1"/>
      <c r="B39" s="1"/>
      <c r="C39" s="1"/>
      <c r="D39" s="183" t="s">
        <v>183</v>
      </c>
      <c r="E39" s="26"/>
      <c r="F39" s="26"/>
      <c r="G39" s="1"/>
      <c r="H39" s="1"/>
      <c r="I39" s="1"/>
      <c r="J39" s="202">
        <f>SUM(J18+J24+J32+J34+J35+J36+J37+J38)</f>
        <v>0</v>
      </c>
      <c r="K39" s="153">
        <f>SUM(K18+K24+K32+K34+K35+K36+K37+K38)</f>
        <v>0</v>
      </c>
      <c r="L39" s="50">
        <f>SUM(L34:L38)</f>
        <v>0</v>
      </c>
      <c r="M39" s="42">
        <f>SUM(M34:M38)</f>
        <v>0</v>
      </c>
      <c r="N39" s="5"/>
    </row>
    <row r="40" spans="1:14" ht="7.5" customHeight="1">
      <c r="A40" s="1"/>
      <c r="B40" s="1"/>
      <c r="C40" s="1"/>
      <c r="D40" s="26"/>
      <c r="E40" s="26"/>
      <c r="F40" s="26"/>
      <c r="G40" s="26"/>
      <c r="H40" s="26"/>
      <c r="I40" s="26"/>
      <c r="J40" s="52"/>
      <c r="K40" s="152"/>
      <c r="L40" s="171"/>
      <c r="M40" s="64" t="s">
        <v>1</v>
      </c>
      <c r="N40" s="6"/>
    </row>
    <row r="41" spans="1:14" s="31" customFormat="1" ht="15.75">
      <c r="A41" s="40" t="s">
        <v>23</v>
      </c>
      <c r="B41" s="21"/>
      <c r="D41" s="28"/>
      <c r="E41" s="28"/>
      <c r="F41" s="28"/>
      <c r="G41" s="28"/>
      <c r="H41" s="28"/>
      <c r="I41" s="28"/>
      <c r="J41" s="47">
        <f>SUM(J39+K39)</f>
        <v>0</v>
      </c>
      <c r="K41" s="154"/>
      <c r="L41" s="173"/>
      <c r="M41" s="47">
        <f>SUM(J41)</f>
        <v>0</v>
      </c>
      <c r="N41" s="29"/>
    </row>
    <row r="42" spans="1:14" ht="8.25" customHeight="1">
      <c r="A42" s="1"/>
      <c r="B42" s="1"/>
      <c r="C42" s="28"/>
      <c r="D42" s="26"/>
      <c r="E42" s="26"/>
      <c r="F42" s="26"/>
      <c r="G42" s="26"/>
      <c r="H42" s="26"/>
      <c r="I42" s="26"/>
      <c r="J42" s="52"/>
      <c r="K42" s="152"/>
      <c r="L42" s="171"/>
      <c r="M42" s="46" t="s">
        <v>1</v>
      </c>
      <c r="N42" s="6"/>
    </row>
    <row r="43" spans="1:14" ht="15.75">
      <c r="A43" s="22" t="s">
        <v>24</v>
      </c>
      <c r="B43" s="22" t="s">
        <v>25</v>
      </c>
      <c r="C43" s="21"/>
      <c r="D43" s="26"/>
      <c r="E43" s="26"/>
      <c r="F43" s="26"/>
      <c r="G43" s="26"/>
      <c r="H43" s="26"/>
      <c r="I43" s="26"/>
      <c r="J43" s="52"/>
      <c r="K43" s="152"/>
      <c r="L43" s="171"/>
      <c r="M43" s="50" t="s">
        <v>1</v>
      </c>
      <c r="N43" s="6"/>
    </row>
    <row r="44" spans="1:14" ht="15.75">
      <c r="A44" s="21"/>
      <c r="B44" s="21"/>
      <c r="C44" s="10" t="s">
        <v>26</v>
      </c>
      <c r="D44" s="30"/>
      <c r="E44" s="30"/>
      <c r="F44" s="30"/>
      <c r="G44" s="30"/>
      <c r="H44" s="30"/>
      <c r="I44" s="30"/>
      <c r="J44" s="42">
        <v>0</v>
      </c>
      <c r="K44" s="152"/>
      <c r="L44" s="171"/>
      <c r="M44" s="42">
        <f>SUM(J44:L44)</f>
        <v>0</v>
      </c>
      <c r="N44" s="6"/>
    </row>
    <row r="45" spans="1:14" ht="15.75">
      <c r="A45" s="21"/>
      <c r="B45" s="21"/>
      <c r="C45" s="10" t="s">
        <v>26</v>
      </c>
      <c r="D45" s="30"/>
      <c r="E45" s="30"/>
      <c r="F45" s="30"/>
      <c r="G45" s="30"/>
      <c r="H45" s="30"/>
      <c r="I45" s="30"/>
      <c r="J45" s="42">
        <v>0</v>
      </c>
      <c r="K45" s="152"/>
      <c r="L45" s="171"/>
      <c r="M45" s="42">
        <f>SUM(J45:L45)</f>
        <v>0</v>
      </c>
      <c r="N45" s="6"/>
    </row>
    <row r="46" spans="1:14" ht="15.75">
      <c r="A46" s="21"/>
      <c r="B46" s="21"/>
      <c r="C46" s="27" t="s">
        <v>27</v>
      </c>
      <c r="D46" s="28"/>
      <c r="E46" s="28"/>
      <c r="F46" s="28"/>
      <c r="G46" s="28"/>
      <c r="H46" s="28"/>
      <c r="I46" s="28"/>
      <c r="J46" s="53">
        <f>SUM(J44:J45)</f>
        <v>0</v>
      </c>
      <c r="K46" s="155"/>
      <c r="L46" s="174"/>
      <c r="M46" s="53">
        <f>SUM(J46:L46)</f>
        <v>0</v>
      </c>
      <c r="N46" s="29"/>
    </row>
    <row r="47" spans="1:14" ht="9" customHeight="1">
      <c r="A47" s="1"/>
      <c r="B47" s="1"/>
      <c r="C47" s="28"/>
      <c r="D47" s="26"/>
      <c r="E47" s="26"/>
      <c r="F47" s="26"/>
      <c r="G47" s="26"/>
      <c r="H47" s="26"/>
      <c r="I47" s="26"/>
      <c r="J47" s="52"/>
      <c r="K47" s="152"/>
      <c r="L47" s="171"/>
      <c r="M47" s="46"/>
      <c r="N47" s="6"/>
    </row>
    <row r="48" spans="1:14" ht="15.75">
      <c r="A48" s="22" t="s">
        <v>28</v>
      </c>
      <c r="B48" s="22" t="s">
        <v>29</v>
      </c>
      <c r="C48" s="1"/>
      <c r="D48" s="21"/>
      <c r="E48" s="21"/>
      <c r="F48" s="21"/>
      <c r="G48" s="1"/>
      <c r="H48" s="1"/>
      <c r="I48" s="1"/>
      <c r="J48" s="54" t="s">
        <v>1</v>
      </c>
      <c r="K48" s="153"/>
      <c r="L48" s="172"/>
      <c r="M48" s="45"/>
      <c r="N48" s="5"/>
    </row>
    <row r="49" spans="1:14" ht="15.75">
      <c r="A49" s="21"/>
      <c r="B49" s="21"/>
      <c r="C49" s="13" t="s">
        <v>30</v>
      </c>
      <c r="D49" s="10" t="s">
        <v>26</v>
      </c>
      <c r="E49" s="31"/>
      <c r="F49" s="31"/>
      <c r="J49" s="42">
        <v>0</v>
      </c>
      <c r="K49" s="153"/>
      <c r="L49" s="172"/>
      <c r="M49" s="42">
        <f>SUM(J49:L49)</f>
        <v>0</v>
      </c>
      <c r="N49" s="5"/>
    </row>
    <row r="50" spans="1:14" ht="15.75">
      <c r="A50" s="21"/>
      <c r="B50" s="21"/>
      <c r="C50" s="13" t="s">
        <v>31</v>
      </c>
      <c r="D50" s="10" t="s">
        <v>26</v>
      </c>
      <c r="E50" s="31"/>
      <c r="F50" s="31"/>
      <c r="J50" s="42">
        <v>0</v>
      </c>
      <c r="K50" s="153"/>
      <c r="L50" s="172"/>
      <c r="M50" s="42">
        <f>SUM(J50:L50)</f>
        <v>0</v>
      </c>
      <c r="N50" s="5"/>
    </row>
    <row r="51" spans="1:14" s="31" customFormat="1" ht="15.75">
      <c r="A51" s="21"/>
      <c r="B51" s="21"/>
      <c r="C51" s="27" t="s">
        <v>32</v>
      </c>
      <c r="D51" s="28"/>
      <c r="E51" s="28"/>
      <c r="F51" s="28"/>
      <c r="G51" s="28"/>
      <c r="H51" s="28"/>
      <c r="I51" s="28"/>
      <c r="J51" s="53">
        <f>SUM(J49:J50)</f>
        <v>0</v>
      </c>
      <c r="K51" s="155"/>
      <c r="L51" s="174"/>
      <c r="M51" s="55">
        <f>SUM(J51:L51)</f>
        <v>0</v>
      </c>
      <c r="N51" s="29"/>
    </row>
    <row r="52" spans="1:14" s="31" customFormat="1" ht="9" customHeight="1">
      <c r="A52" s="21"/>
      <c r="B52" s="21"/>
      <c r="C52" s="27"/>
      <c r="D52" s="28"/>
      <c r="E52" s="28"/>
      <c r="F52" s="28"/>
      <c r="G52" s="28"/>
      <c r="H52" s="28"/>
      <c r="I52" s="28"/>
      <c r="J52" s="61"/>
      <c r="K52" s="155"/>
      <c r="L52" s="174"/>
      <c r="M52" s="277"/>
      <c r="N52" s="29"/>
    </row>
    <row r="53" spans="1:14" ht="15.75">
      <c r="A53" s="22" t="s">
        <v>33</v>
      </c>
      <c r="B53" s="22" t="s">
        <v>34</v>
      </c>
      <c r="C53" s="21"/>
      <c r="D53" s="21"/>
      <c r="E53" s="21"/>
      <c r="F53" s="21"/>
      <c r="G53" s="1"/>
      <c r="H53" s="1"/>
      <c r="I53" s="1"/>
      <c r="J53" s="54" t="s">
        <v>1</v>
      </c>
      <c r="K53" s="153"/>
      <c r="L53" s="172"/>
      <c r="M53" s="42"/>
      <c r="N53" s="5"/>
    </row>
    <row r="54" spans="1:14" ht="15.75">
      <c r="A54" s="21"/>
      <c r="B54" s="21"/>
      <c r="C54" s="13" t="s">
        <v>35</v>
      </c>
      <c r="D54" s="3"/>
      <c r="E54" s="31"/>
      <c r="F54" s="31"/>
      <c r="J54" s="42">
        <v>0</v>
      </c>
      <c r="K54" s="153"/>
      <c r="L54" s="172"/>
      <c r="M54" s="42">
        <f aca="true" t="shared" si="3" ref="M54:M65">SUM(J54:L54)</f>
        <v>0</v>
      </c>
      <c r="N54" s="5"/>
    </row>
    <row r="55" spans="1:14" ht="15.75">
      <c r="A55" s="21"/>
      <c r="B55" s="21"/>
      <c r="C55" s="13" t="s">
        <v>188</v>
      </c>
      <c r="D55" s="3"/>
      <c r="E55" s="31"/>
      <c r="F55" s="31"/>
      <c r="J55" s="42">
        <v>0</v>
      </c>
      <c r="K55" s="153"/>
      <c r="L55" s="172"/>
      <c r="M55" s="42">
        <f t="shared" si="3"/>
        <v>0</v>
      </c>
      <c r="N55" s="5"/>
    </row>
    <row r="56" spans="1:14" ht="15.75">
      <c r="A56" s="21"/>
      <c r="B56" s="21"/>
      <c r="C56" s="13" t="s">
        <v>37</v>
      </c>
      <c r="D56" s="3"/>
      <c r="E56" s="31"/>
      <c r="F56" s="31"/>
      <c r="J56" s="42">
        <v>0</v>
      </c>
      <c r="K56" s="153"/>
      <c r="L56" s="172"/>
      <c r="M56" s="42">
        <f t="shared" si="3"/>
        <v>0</v>
      </c>
      <c r="N56" s="5"/>
    </row>
    <row r="57" spans="1:14" ht="15.75">
      <c r="A57" s="21"/>
      <c r="B57" s="21"/>
      <c r="C57" s="13" t="s">
        <v>277</v>
      </c>
      <c r="D57" s="3"/>
      <c r="E57" s="31"/>
      <c r="F57" s="31"/>
      <c r="J57" s="42">
        <v>0</v>
      </c>
      <c r="K57" s="153"/>
      <c r="L57" s="172"/>
      <c r="M57" s="42">
        <f t="shared" si="3"/>
        <v>0</v>
      </c>
      <c r="N57" s="5"/>
    </row>
    <row r="58" spans="1:14" ht="15.75">
      <c r="A58" s="21"/>
      <c r="B58" s="21"/>
      <c r="C58" s="225" t="s">
        <v>100</v>
      </c>
      <c r="D58" s="3"/>
      <c r="E58" s="31"/>
      <c r="F58" s="31"/>
      <c r="J58" s="42">
        <v>0</v>
      </c>
      <c r="K58" s="153"/>
      <c r="L58" s="172"/>
      <c r="M58" s="42">
        <f t="shared" si="3"/>
        <v>0</v>
      </c>
      <c r="N58" s="5"/>
    </row>
    <row r="59" spans="1:14" ht="15.75">
      <c r="A59" s="21"/>
      <c r="B59" s="21"/>
      <c r="C59" s="13" t="s">
        <v>276</v>
      </c>
      <c r="D59" s="3"/>
      <c r="E59" s="31"/>
      <c r="F59" s="31"/>
      <c r="J59" s="42">
        <v>0</v>
      </c>
      <c r="K59" s="153"/>
      <c r="L59" s="172"/>
      <c r="M59" s="42">
        <f t="shared" si="3"/>
        <v>0</v>
      </c>
      <c r="N59" s="5"/>
    </row>
    <row r="60" spans="1:14" ht="15.75">
      <c r="A60" s="21"/>
      <c r="B60" s="21"/>
      <c r="C60" s="13" t="s">
        <v>38</v>
      </c>
      <c r="D60" s="21"/>
      <c r="E60" s="21"/>
      <c r="F60" s="21"/>
      <c r="G60" s="1"/>
      <c r="H60" s="1"/>
      <c r="I60" s="1"/>
      <c r="J60" s="42">
        <v>0</v>
      </c>
      <c r="K60" s="153"/>
      <c r="L60" s="172"/>
      <c r="M60" s="42">
        <f t="shared" si="3"/>
        <v>0</v>
      </c>
      <c r="N60" s="5"/>
    </row>
    <row r="61" spans="1:15" ht="15.75">
      <c r="A61" s="21"/>
      <c r="B61" s="21"/>
      <c r="C61" s="22" t="s">
        <v>39</v>
      </c>
      <c r="D61" s="10"/>
      <c r="E61" s="31"/>
      <c r="F61" s="31"/>
      <c r="J61" s="42">
        <v>0</v>
      </c>
      <c r="K61" s="153"/>
      <c r="L61" s="172"/>
      <c r="M61" s="42">
        <f t="shared" si="3"/>
        <v>0</v>
      </c>
      <c r="N61" s="5"/>
      <c r="O61" s="76"/>
    </row>
    <row r="62" spans="1:15" ht="15.75">
      <c r="A62" s="21"/>
      <c r="B62" s="21"/>
      <c r="C62" s="63" t="s">
        <v>40</v>
      </c>
      <c r="D62" s="10"/>
      <c r="E62" s="31"/>
      <c r="F62" s="31"/>
      <c r="J62" s="42">
        <v>0</v>
      </c>
      <c r="K62" s="153"/>
      <c r="L62" s="172"/>
      <c r="M62" s="42">
        <f t="shared" si="3"/>
        <v>0</v>
      </c>
      <c r="N62" s="5"/>
      <c r="O62" s="76"/>
    </row>
    <row r="63" spans="1:15" ht="15.75">
      <c r="A63" s="21"/>
      <c r="B63" s="21"/>
      <c r="C63" s="63" t="s">
        <v>93</v>
      </c>
      <c r="D63" s="10"/>
      <c r="E63" s="31"/>
      <c r="F63" s="31"/>
      <c r="J63" s="42">
        <v>0</v>
      </c>
      <c r="K63" s="153"/>
      <c r="L63" s="172"/>
      <c r="M63" s="42">
        <f t="shared" si="3"/>
        <v>0</v>
      </c>
      <c r="N63" s="5"/>
      <c r="O63" s="76"/>
    </row>
    <row r="64" spans="1:15" ht="15.75">
      <c r="A64" s="21"/>
      <c r="B64" s="21"/>
      <c r="C64" s="63" t="s">
        <v>94</v>
      </c>
      <c r="D64" s="10"/>
      <c r="E64" s="31"/>
      <c r="F64" s="31"/>
      <c r="J64" s="42">
        <v>0</v>
      </c>
      <c r="K64" s="153"/>
      <c r="L64" s="172"/>
      <c r="M64" s="42">
        <f t="shared" si="3"/>
        <v>0</v>
      </c>
      <c r="N64" s="5"/>
      <c r="O64" s="76"/>
    </row>
    <row r="65" spans="1:15" ht="15.75">
      <c r="A65" s="40" t="s">
        <v>41</v>
      </c>
      <c r="D65" s="28"/>
      <c r="E65" s="28"/>
      <c r="F65" s="28"/>
      <c r="G65" s="28"/>
      <c r="H65" s="28"/>
      <c r="I65" s="28"/>
      <c r="J65" s="51">
        <f>SUM(J54:J64)</f>
        <v>0</v>
      </c>
      <c r="K65" s="156"/>
      <c r="L65" s="175"/>
      <c r="M65" s="43">
        <f t="shared" si="3"/>
        <v>0</v>
      </c>
      <c r="N65" s="34"/>
      <c r="O65" s="76"/>
    </row>
    <row r="66" spans="1:14" ht="7.5" customHeight="1">
      <c r="A66" s="21"/>
      <c r="B66" s="21"/>
      <c r="C66" s="26"/>
      <c r="D66" s="28"/>
      <c r="E66" s="28"/>
      <c r="F66" s="28"/>
      <c r="G66" s="26"/>
      <c r="H66" s="26"/>
      <c r="I66" s="26"/>
      <c r="J66" s="52"/>
      <c r="K66" s="152"/>
      <c r="L66" s="171"/>
      <c r="M66" s="46" t="s">
        <v>1</v>
      </c>
      <c r="N66" s="6"/>
    </row>
    <row r="67" spans="1:14" ht="16.5">
      <c r="A67" s="28"/>
      <c r="B67" s="28"/>
      <c r="C67" s="28"/>
      <c r="D67" s="21"/>
      <c r="E67" s="32" t="s">
        <v>42</v>
      </c>
      <c r="F67" s="32"/>
      <c r="G67" s="39"/>
      <c r="H67" s="39"/>
      <c r="I67" s="39"/>
      <c r="J67" s="65">
        <f>ROUND(+J65+J51+J46+J41,0)</f>
        <v>0</v>
      </c>
      <c r="K67" s="157"/>
      <c r="L67" s="176"/>
      <c r="M67" s="65">
        <f>SUM(J67:L67)</f>
        <v>0</v>
      </c>
      <c r="N67" s="34"/>
    </row>
    <row r="68" spans="1:13" ht="7.5" customHeight="1">
      <c r="A68" s="28"/>
      <c r="B68" s="28"/>
      <c r="C68" s="28"/>
      <c r="D68" s="21"/>
      <c r="E68" s="32"/>
      <c r="F68" s="32"/>
      <c r="G68" s="39"/>
      <c r="H68" s="39"/>
      <c r="I68" s="39"/>
      <c r="J68" s="66"/>
      <c r="K68" s="157"/>
      <c r="L68" s="176"/>
      <c r="M68" s="65"/>
    </row>
    <row r="69" spans="1:15" ht="15.75">
      <c r="A69" s="28"/>
      <c r="B69" s="28"/>
      <c r="C69" s="28"/>
      <c r="D69" s="21"/>
      <c r="G69" s="39"/>
      <c r="H69" s="92" t="s">
        <v>115</v>
      </c>
      <c r="I69" s="39"/>
      <c r="J69" s="74">
        <f>(IF((J61)&gt;25000,(25000),J61)+((IF((J62)&gt;25000,(25000),J62))+((IF((J63)&gt;25000,(25000),J63))+((IF((J64)&gt;25000,(25000),J64))+SUM(J67-J46-J58-J61-J62-J63-J64)))))</f>
        <v>0</v>
      </c>
      <c r="K69" s="158"/>
      <c r="L69" s="177"/>
      <c r="M69" s="74">
        <f>SUM(J69:L69)</f>
        <v>0</v>
      </c>
      <c r="O69" s="76"/>
    </row>
    <row r="70" spans="1:16" ht="15.75">
      <c r="A70" s="33" t="s">
        <v>114</v>
      </c>
      <c r="B70" s="1"/>
      <c r="C70" s="1"/>
      <c r="J70" s="42"/>
      <c r="K70" s="159"/>
      <c r="L70" s="178"/>
      <c r="M70" s="50"/>
      <c r="N70" s="5"/>
      <c r="P70" s="75"/>
    </row>
    <row r="71" spans="1:14" ht="15.75">
      <c r="A71" s="13" t="s">
        <v>117</v>
      </c>
      <c r="B71" s="1"/>
      <c r="D71" s="7">
        <f>IF(AND(($E$82)="R",($E$84)="C"),('RATES-Non Fed'!E48),IF(AND(($E$82)="R",($E$84)="O"),('RATES-Non Fed'!E53),IF(AND(($E$82)="I",($E$84)="C"),('RATES-Non Fed'!E49),IF(AND(($E$82)="I",($E$84)="O"),('RATES-Non Fed'!E54),IF(AND(($E$82)="P",($E$84)="C"),('RATES-Non Fed'!E50),IF(AND(($E$82)="P",($E$84)="O"),('RATES-Non Fed'!E55),($E$83)))))))</f>
        <v>0.605</v>
      </c>
      <c r="E71" s="7"/>
      <c r="F71" s="7"/>
      <c r="G71" s="7"/>
      <c r="H71" s="7"/>
      <c r="J71" s="50">
        <f>ROUND(+D71*(J67-J46-J61-J62-J63-J64-J58),0)</f>
        <v>0</v>
      </c>
      <c r="K71" s="153"/>
      <c r="L71" s="172"/>
      <c r="M71" s="50">
        <f aca="true" t="shared" si="4" ref="M71:M76">SUM(J71:L71)</f>
        <v>0</v>
      </c>
      <c r="N71" s="5"/>
    </row>
    <row r="72" spans="1:14" ht="15.75">
      <c r="A72" s="13" t="s">
        <v>43</v>
      </c>
      <c r="D72" s="7">
        <f>+D71</f>
        <v>0.605</v>
      </c>
      <c r="E72" s="7"/>
      <c r="F72" s="7"/>
      <c r="G72" s="7"/>
      <c r="H72" s="7"/>
      <c r="J72" s="50">
        <f>(IF((J61)&gt;25000,(25000),J61)*D72)</f>
        <v>0</v>
      </c>
      <c r="K72" s="153"/>
      <c r="L72" s="172"/>
      <c r="M72" s="50">
        <f t="shared" si="4"/>
        <v>0</v>
      </c>
      <c r="N72" s="5"/>
    </row>
    <row r="73" spans="1:14" ht="15.75">
      <c r="A73" s="13" t="s">
        <v>44</v>
      </c>
      <c r="D73" s="7">
        <f>+D72</f>
        <v>0.605</v>
      </c>
      <c r="E73" s="7"/>
      <c r="F73" s="7"/>
      <c r="G73" s="7"/>
      <c r="H73" s="7"/>
      <c r="J73" s="50">
        <f>(IF((J62)&gt;25000,(25000),J62)*D73)</f>
        <v>0</v>
      </c>
      <c r="K73" s="153"/>
      <c r="L73" s="172"/>
      <c r="M73" s="50">
        <f t="shared" si="4"/>
        <v>0</v>
      </c>
      <c r="N73" s="5"/>
    </row>
    <row r="74" spans="1:14" ht="15.75">
      <c r="A74" s="13" t="s">
        <v>91</v>
      </c>
      <c r="D74" s="7">
        <f>+D73</f>
        <v>0.605</v>
      </c>
      <c r="E74" s="7"/>
      <c r="F74" s="7"/>
      <c r="G74" s="7"/>
      <c r="H74" s="7"/>
      <c r="J74" s="50">
        <f>(IF((J63)&gt;25000,(25000),J63)*D74)</f>
        <v>0</v>
      </c>
      <c r="K74" s="153"/>
      <c r="L74" s="172"/>
      <c r="M74" s="50">
        <f t="shared" si="4"/>
        <v>0</v>
      </c>
      <c r="N74" s="5"/>
    </row>
    <row r="75" spans="1:14" ht="15.75">
      <c r="A75" s="13" t="s">
        <v>92</v>
      </c>
      <c r="B75" s="1"/>
      <c r="C75" s="1"/>
      <c r="D75" s="7">
        <f>+D72</f>
        <v>0.605</v>
      </c>
      <c r="E75" s="7"/>
      <c r="F75" s="7"/>
      <c r="G75" s="7"/>
      <c r="H75" s="7"/>
      <c r="J75" s="50">
        <f>(IF((J64)&gt;25000,(25000),J64)*D75)</f>
        <v>0</v>
      </c>
      <c r="K75" s="153"/>
      <c r="L75" s="172"/>
      <c r="M75" s="50">
        <f t="shared" si="4"/>
        <v>0</v>
      </c>
      <c r="N75" s="5"/>
    </row>
    <row r="76" spans="1:14" ht="15.75">
      <c r="A76" s="40" t="s">
        <v>116</v>
      </c>
      <c r="B76" s="1"/>
      <c r="C76" s="24"/>
      <c r="D76" s="35"/>
      <c r="E76" s="7"/>
      <c r="F76" s="7"/>
      <c r="G76" s="7"/>
      <c r="H76" s="7"/>
      <c r="I76" s="7"/>
      <c r="J76" s="53">
        <f>SUM(J71:J75)</f>
        <v>0</v>
      </c>
      <c r="K76" s="156"/>
      <c r="L76" s="175"/>
      <c r="M76" s="53">
        <f t="shared" si="4"/>
        <v>0</v>
      </c>
      <c r="N76" s="5"/>
    </row>
    <row r="77" spans="1:14" ht="6.75" customHeight="1">
      <c r="A77" s="40"/>
      <c r="B77" s="1"/>
      <c r="C77" s="24"/>
      <c r="D77" s="35"/>
      <c r="E77" s="7"/>
      <c r="F77" s="7"/>
      <c r="G77" s="7"/>
      <c r="H77" s="7"/>
      <c r="I77" s="7"/>
      <c r="J77" s="61"/>
      <c r="K77" s="156"/>
      <c r="L77" s="175"/>
      <c r="M77" s="62"/>
      <c r="N77" s="5"/>
    </row>
    <row r="78" spans="1:14" ht="19.5" thickBot="1">
      <c r="A78" s="40"/>
      <c r="B78" s="1"/>
      <c r="C78" s="60" t="s">
        <v>45</v>
      </c>
      <c r="D78" s="35"/>
      <c r="E78" s="7"/>
      <c r="F78" s="7"/>
      <c r="G78" s="7"/>
      <c r="H78" s="7"/>
      <c r="I78" s="7"/>
      <c r="J78" s="72">
        <f>J76+J67</f>
        <v>0</v>
      </c>
      <c r="K78" s="157"/>
      <c r="L78" s="176"/>
      <c r="M78" s="72">
        <f>SUM(J78:L78)</f>
        <v>0</v>
      </c>
      <c r="N78" s="5"/>
    </row>
    <row r="79" spans="1:14" ht="8.25" customHeight="1" thickTop="1">
      <c r="A79" s="28"/>
      <c r="B79" s="1"/>
      <c r="C79" s="35"/>
      <c r="D79" s="7"/>
      <c r="E79" s="7"/>
      <c r="F79" s="7"/>
      <c r="G79" s="7"/>
      <c r="H79" s="7"/>
      <c r="I79" s="7"/>
      <c r="J79" s="50"/>
      <c r="K79" s="153"/>
      <c r="L79" s="172"/>
      <c r="M79" s="50" t="s">
        <v>1</v>
      </c>
      <c r="N79" s="5"/>
    </row>
    <row r="80" spans="1:14" ht="9" customHeight="1">
      <c r="A80" s="1"/>
      <c r="B80" s="1"/>
      <c r="C80" s="1"/>
      <c r="D80" s="1"/>
      <c r="E80" s="1"/>
      <c r="F80" s="1"/>
      <c r="G80" s="1"/>
      <c r="H80" s="1"/>
      <c r="I80" s="1"/>
      <c r="J80" s="49"/>
      <c r="K80" s="160"/>
      <c r="L80" s="179"/>
      <c r="M80" s="58"/>
      <c r="N80" s="1"/>
    </row>
    <row r="81" ht="15.75">
      <c r="C81" s="36" t="s">
        <v>118</v>
      </c>
    </row>
    <row r="82" spans="3:7" ht="15.75">
      <c r="C82" s="14" t="s">
        <v>46</v>
      </c>
      <c r="E82" s="15" t="s">
        <v>47</v>
      </c>
      <c r="G82" s="14" t="s">
        <v>48</v>
      </c>
    </row>
    <row r="83" spans="3:6" ht="15.75">
      <c r="C83" s="14" t="s">
        <v>175</v>
      </c>
      <c r="E83" s="9">
        <v>0.1</v>
      </c>
      <c r="F83" s="9"/>
    </row>
    <row r="84" spans="3:7" ht="15.75">
      <c r="C84" s="14" t="s">
        <v>49</v>
      </c>
      <c r="E84" s="15" t="s">
        <v>50</v>
      </c>
      <c r="G84" s="14" t="s">
        <v>51</v>
      </c>
    </row>
    <row r="86" spans="4:10" ht="15.75">
      <c r="D86" s="214" t="s">
        <v>197</v>
      </c>
      <c r="H86" s="212">
        <f>+'RATES-Non Fed'!E31</f>
        <v>0.605</v>
      </c>
      <c r="J86" s="211">
        <f>J76/12*'RATES-Non Fed'!$C$48</f>
        <v>0</v>
      </c>
    </row>
    <row r="87" spans="4:10" ht="15.75">
      <c r="D87" s="314" t="s">
        <v>198</v>
      </c>
      <c r="E87" s="314"/>
      <c r="F87" s="314"/>
      <c r="G87" s="314"/>
      <c r="H87" s="212">
        <f>+'RATES-Non Fed'!G31</f>
        <v>0.62</v>
      </c>
      <c r="J87" s="211">
        <f>J76/12*'RATES-Non Fed'!$D$48</f>
        <v>0</v>
      </c>
    </row>
    <row r="88" spans="4:16" ht="18.75">
      <c r="D88" s="314"/>
      <c r="E88" s="314"/>
      <c r="F88" s="314"/>
      <c r="G88" s="314"/>
      <c r="J88" s="211">
        <f>SUM(J86:J87)</f>
        <v>0</v>
      </c>
      <c r="M88" s="313"/>
      <c r="N88" s="313"/>
      <c r="O88" s="313"/>
      <c r="P88" s="193"/>
    </row>
  </sheetData>
  <sheetProtection/>
  <mergeCells count="4">
    <mergeCell ref="J8:L8"/>
    <mergeCell ref="K4:O5"/>
    <mergeCell ref="M88:O88"/>
    <mergeCell ref="D87:G88"/>
  </mergeCells>
  <dataValidations count="1">
    <dataValidation type="list" allowBlank="1" showInputMessage="1" showErrorMessage="1" sqref="D11 D13 D20:D23 D15:D17">
      <formula1>APPTS</formula1>
    </dataValidation>
  </dataValidations>
  <hyperlinks>
    <hyperlink ref="C58" r:id="rId1" display="UC Tuition rates (Not Subject to Indirect)"/>
  </hyperlinks>
  <printOptions horizontalCentered="1"/>
  <pageMargins left="0.25" right="0.25" top="0.75" bottom="0.75" header="0.3" footer="0.3"/>
  <pageSetup fitToHeight="1" fitToWidth="1" horizontalDpi="300" verticalDpi="300" orientation="portrait" scale="49" r:id="rId4"/>
  <legacyDrawing r:id="rId3"/>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S89"/>
  <sheetViews>
    <sheetView showGridLines="0" zoomScale="75" zoomScaleNormal="75" workbookViewId="0" topLeftCell="A10">
      <selection activeCell="M34" sqref="M34"/>
    </sheetView>
  </sheetViews>
  <sheetFormatPr defaultColWidth="9.625" defaultRowHeight="15.75"/>
  <cols>
    <col min="1" max="2" width="2.625" style="0" customWidth="1"/>
    <col min="3" max="3" width="20.50390625" style="0" customWidth="1"/>
    <col min="4" max="4" width="16.125" style="0" customWidth="1"/>
    <col min="5" max="5" width="10.875" style="0"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8.125" style="161" bestFit="1" customWidth="1"/>
    <col min="12" max="12" width="10.125" style="180" bestFit="1" customWidth="1"/>
    <col min="13" max="13" width="11.25390625" style="0" customWidth="1"/>
    <col min="14" max="14" width="9.25390625" style="161" bestFit="1" customWidth="1"/>
    <col min="15" max="15" width="9.50390625" style="90" bestFit="1" customWidth="1"/>
    <col min="16" max="16" width="14.625" style="0" customWidth="1"/>
    <col min="17" max="17" width="2.625" style="0" customWidth="1"/>
  </cols>
  <sheetData>
    <row r="1" spans="1:14" ht="18.75">
      <c r="A1" s="17" t="s">
        <v>0</v>
      </c>
      <c r="B1" s="18"/>
      <c r="C1" s="18"/>
      <c r="D1" s="18"/>
      <c r="E1" s="18"/>
      <c r="F1" s="18"/>
      <c r="G1" s="18"/>
      <c r="H1" s="18"/>
      <c r="I1" s="18"/>
      <c r="J1" s="19"/>
      <c r="K1" s="147"/>
      <c r="L1" s="168"/>
      <c r="M1" s="37"/>
      <c r="N1" s="162"/>
    </row>
    <row r="2" spans="1:16" ht="18.75">
      <c r="A2" s="17" t="s">
        <v>186</v>
      </c>
      <c r="B2" s="18"/>
      <c r="C2" s="18"/>
      <c r="D2" s="18"/>
      <c r="E2" s="18"/>
      <c r="F2" s="18"/>
      <c r="G2" s="18"/>
      <c r="H2" s="18"/>
      <c r="I2" s="18"/>
      <c r="J2" s="19"/>
      <c r="K2" s="147"/>
      <c r="L2" s="168"/>
      <c r="M2" s="37"/>
      <c r="N2" s="162"/>
      <c r="O2" s="189"/>
      <c r="P2" s="37"/>
    </row>
    <row r="3" spans="1:16" ht="9.75" customHeight="1">
      <c r="A3" s="10" t="s">
        <v>1</v>
      </c>
      <c r="B3" s="1"/>
      <c r="J3" s="11" t="s">
        <v>1</v>
      </c>
      <c r="K3" s="148"/>
      <c r="L3" s="169"/>
      <c r="M3" s="8"/>
      <c r="P3" s="8"/>
    </row>
    <row r="4" spans="1:16" ht="15.75">
      <c r="A4" s="22" t="s">
        <v>2</v>
      </c>
      <c r="B4" s="1"/>
      <c r="D4" s="10" t="s">
        <v>69</v>
      </c>
      <c r="G4" s="3"/>
      <c r="J4" s="20" t="s">
        <v>3</v>
      </c>
      <c r="K4" s="315" t="s">
        <v>69</v>
      </c>
      <c r="L4" s="316"/>
      <c r="M4" s="317"/>
      <c r="N4" s="317"/>
      <c r="O4" s="318"/>
      <c r="P4" s="8"/>
    </row>
    <row r="5" spans="1:16" ht="18.75">
      <c r="A5" s="22" t="s">
        <v>4</v>
      </c>
      <c r="B5" s="1"/>
      <c r="D5" s="10" t="s">
        <v>69</v>
      </c>
      <c r="E5" s="3"/>
      <c r="F5" s="3"/>
      <c r="H5" s="2"/>
      <c r="I5" s="2"/>
      <c r="J5" s="38"/>
      <c r="K5" s="319"/>
      <c r="L5" s="320"/>
      <c r="M5" s="320"/>
      <c r="N5" s="320"/>
      <c r="O5" s="321"/>
      <c r="P5" s="8"/>
    </row>
    <row r="6" spans="1:16" ht="15.75">
      <c r="A6" s="14"/>
      <c r="B6" s="22" t="s">
        <v>5</v>
      </c>
      <c r="D6" s="73">
        <f>'RATES-Non Fed'!E2</f>
        <v>44013</v>
      </c>
      <c r="E6" s="12" t="s">
        <v>6</v>
      </c>
      <c r="F6" s="12"/>
      <c r="G6" s="73">
        <f>'RATES-Non Fed'!G2</f>
        <v>46203</v>
      </c>
      <c r="H6" s="4"/>
      <c r="I6" s="4"/>
      <c r="J6" s="2"/>
      <c r="K6" s="149"/>
      <c r="L6" s="170"/>
      <c r="M6" s="3"/>
      <c r="N6" s="149"/>
      <c r="O6" s="144"/>
      <c r="P6" s="8"/>
    </row>
    <row r="7" spans="5:17" ht="7.5" customHeight="1">
      <c r="E7" s="3"/>
      <c r="F7" s="3"/>
      <c r="G7" s="1"/>
      <c r="H7" s="1"/>
      <c r="I7" s="1"/>
      <c r="J7" s="16" t="s">
        <v>1</v>
      </c>
      <c r="K7" s="148"/>
      <c r="L7" s="169"/>
      <c r="M7" s="8"/>
      <c r="N7" s="148"/>
      <c r="O7" s="138"/>
      <c r="P7" s="8"/>
      <c r="Q7" s="1"/>
    </row>
    <row r="8" spans="1:17" ht="15.75">
      <c r="A8" s="21"/>
      <c r="B8" s="21"/>
      <c r="C8" s="140" t="s">
        <v>10</v>
      </c>
      <c r="D8" s="21"/>
      <c r="E8" s="21"/>
      <c r="F8" s="21"/>
      <c r="G8" s="21"/>
      <c r="H8" s="21"/>
      <c r="I8" s="21"/>
      <c r="J8" s="304" t="s">
        <v>21</v>
      </c>
      <c r="K8" s="305"/>
      <c r="L8" s="306"/>
      <c r="M8" s="322" t="s">
        <v>53</v>
      </c>
      <c r="N8" s="323"/>
      <c r="O8" s="324"/>
      <c r="P8" s="166" t="s">
        <v>8</v>
      </c>
      <c r="Q8" s="21"/>
    </row>
    <row r="9" spans="1:19" s="142" customFormat="1" ht="15.75">
      <c r="A9" s="140" t="s">
        <v>9</v>
      </c>
      <c r="C9" s="140"/>
      <c r="D9" s="140"/>
      <c r="E9" s="140"/>
      <c r="F9" s="140"/>
      <c r="G9" s="140"/>
      <c r="H9" s="140"/>
      <c r="I9" s="140"/>
      <c r="J9" s="184" t="s">
        <v>180</v>
      </c>
      <c r="K9" s="150" t="s">
        <v>181</v>
      </c>
      <c r="L9" s="140" t="s">
        <v>182</v>
      </c>
      <c r="M9" s="188" t="s">
        <v>180</v>
      </c>
      <c r="N9" s="150" t="s">
        <v>181</v>
      </c>
      <c r="O9" s="140" t="s">
        <v>182</v>
      </c>
      <c r="P9" s="141"/>
      <c r="Q9" s="140"/>
      <c r="S9"/>
    </row>
    <row r="10" spans="1:17" ht="15.75">
      <c r="A10" s="1"/>
      <c r="B10" s="23" t="s">
        <v>11</v>
      </c>
      <c r="C10" s="24"/>
      <c r="D10" s="24" t="s">
        <v>99</v>
      </c>
      <c r="E10" s="1" t="s">
        <v>12</v>
      </c>
      <c r="F10" s="41" t="s">
        <v>121</v>
      </c>
      <c r="G10" s="41" t="s">
        <v>13</v>
      </c>
      <c r="H10" s="1"/>
      <c r="I10" s="1"/>
      <c r="J10" s="185"/>
      <c r="K10" s="148"/>
      <c r="L10" s="138"/>
      <c r="M10" s="185"/>
      <c r="N10" s="148"/>
      <c r="O10" s="138"/>
      <c r="P10" s="2">
        <f>IF(SUM(J10:N10)=0,"",SUM(J10:N10))</f>
      </c>
      <c r="Q10" s="1"/>
    </row>
    <row r="11" spans="1:19" ht="15.75">
      <c r="A11" s="1"/>
      <c r="B11" s="1" t="s">
        <v>14</v>
      </c>
      <c r="C11" s="10"/>
      <c r="D11" s="135" t="s">
        <v>123</v>
      </c>
      <c r="E11" s="70">
        <v>0</v>
      </c>
      <c r="F11" s="94">
        <f aca="true" t="shared" si="0" ref="F11:F18">IF(D11="CAL",(52*E11/4.3333),(IF(D11="ACAD",(36.35*E11/4.33333),IF(D11="SUMR",(15.65*E11/4.33333),IF(D11="PT",(0),0)))))</f>
        <v>0</v>
      </c>
      <c r="G11" s="69">
        <v>0</v>
      </c>
      <c r="J11" s="182">
        <f>IF($D11="CAL",ROUND(($G11*(1+'Salary Inflation'!$B$35))*$E11,0),IF($D11="ACAD",($G11/0.9965)*(1+'Salary Inflation'!$O$46)*$E11,IF($D11="SUMR",($G11)*(1+'Salary Inflation'!$O$47)*$E11,"NA")))</f>
        <v>0</v>
      </c>
      <c r="K11" s="151">
        <f>IF($D11="CAL",ROUND(J11*'RATES-Non Fed'!$E$38,0),IF($D11="ACAD",J11*'RATES-Non Fed'!$E$44,J11*'RATES-Non Fed'!$E$45))</f>
        <v>0</v>
      </c>
      <c r="L11" s="67">
        <f>ROUND(K11+J11,0)</f>
        <v>0</v>
      </c>
      <c r="M11" s="182">
        <f>IF($D11="CAL",ROUND((J11*(1+'Salary Inflation'!$C$35)),0),IF($D11="ACAD",(J11)*(1+'Salary Inflation'!$C$36),IF($D11="SUMR",(J11)*(1+'Salary Inflation'!$C$37),"NA")))</f>
        <v>0</v>
      </c>
      <c r="N11" s="151">
        <f>IF($D11="CAL",ROUND(M11*'RATES-Non Fed'!$G$38,0),IF($D11="ACAD",M11*'RATES-Non Fed'!$G$44,M11*'RATES-Non Fed'!$G$45))</f>
        <v>0</v>
      </c>
      <c r="O11" s="67">
        <f aca="true" t="shared" si="1" ref="O11:O18">ROUND(M11+N11,0)</f>
        <v>0</v>
      </c>
      <c r="P11" s="42">
        <f>SUM(L11+O11)</f>
        <v>0</v>
      </c>
      <c r="Q11" s="1"/>
      <c r="S11" s="206"/>
    </row>
    <row r="12" spans="1:17" ht="15.75">
      <c r="A12" s="1"/>
      <c r="B12" s="1" t="s">
        <v>14</v>
      </c>
      <c r="C12" s="3"/>
      <c r="D12" s="135" t="s">
        <v>257</v>
      </c>
      <c r="E12" s="70">
        <v>0</v>
      </c>
      <c r="F12" s="94">
        <f t="shared" si="0"/>
        <v>0</v>
      </c>
      <c r="G12" s="69">
        <f>IF(D11="ACAD",+G11*0.428,0)</f>
        <v>0</v>
      </c>
      <c r="J12" s="182">
        <f>IF($D12="CAL",ROUND(($G12*(1+'Salary Inflation'!$B$35))*$E12,0),IF($D12="ACAD",($G12/0.9965)*(1+'Salary Inflation'!$O$46)*$E12,IF($D12="SUMR",($G12)*(1+'Salary Inflation'!$O$47)*$E12,"NA")))</f>
        <v>0</v>
      </c>
      <c r="K12" s="151">
        <f>IF($D12="CAL",ROUND(J12*'RATES-Non Fed'!$E$38,0),IF($D12="ACAD",J12*'RATES-Non Fed'!$E$44,J12*'RATES-Non Fed'!$E$45))</f>
        <v>0</v>
      </c>
      <c r="L12" s="67">
        <f aca="true" t="shared" si="2" ref="L12:L18">ROUND(K12+J12,0)</f>
        <v>0</v>
      </c>
      <c r="M12" s="182">
        <f>IF($D12="CAL",ROUND((J12*(1+'Salary Inflation'!$C$35)),0),IF($D12="ACAD",(J12)*(1+'Salary Inflation'!$C$36),IF($D12="SUMR",(J12)*(1+'Salary Inflation'!$C$37),"NA")))</f>
        <v>0</v>
      </c>
      <c r="N12" s="151">
        <f>IF($D12="CAL",ROUND(M12*'RATES-Non Fed'!$G$38,0),IF($D12="ACAD",M12*'RATES-Non Fed'!$G$44,M12*'RATES-Non Fed'!$G$45))</f>
        <v>0</v>
      </c>
      <c r="O12" s="67">
        <f t="shared" si="1"/>
        <v>0</v>
      </c>
      <c r="P12" s="42">
        <f aca="true" t="shared" si="3" ref="P12:P18">SUM(L12+O12)</f>
        <v>0</v>
      </c>
      <c r="Q12" s="1"/>
    </row>
    <row r="13" spans="1:17" ht="15.75">
      <c r="A13" s="1"/>
      <c r="B13" s="1" t="s">
        <v>15</v>
      </c>
      <c r="C13" s="3"/>
      <c r="D13" s="135" t="s">
        <v>123</v>
      </c>
      <c r="E13" s="70">
        <v>0</v>
      </c>
      <c r="F13" s="94">
        <f t="shared" si="0"/>
        <v>0</v>
      </c>
      <c r="G13" s="69">
        <v>0</v>
      </c>
      <c r="J13" s="182">
        <f>IF($D13="CAL",ROUND(($G13*(1+'Salary Inflation'!$B$35))*$E13,0),IF($D13="ACAD",($G13/0.9965)*(1+'Salary Inflation'!$O$46)*$E13,IF($D13="SUMR",($G13)*(1+'Salary Inflation'!$O$47)*$E13,"NA")))</f>
        <v>0</v>
      </c>
      <c r="K13" s="151">
        <f>IF($D13="CAL",ROUND(J13*'RATES-Non Fed'!$E$38,0),IF($D13="ACAD",J13*'RATES-Non Fed'!$E$44,J13*'RATES-Non Fed'!$E$45))</f>
        <v>0</v>
      </c>
      <c r="L13" s="67">
        <f t="shared" si="2"/>
        <v>0</v>
      </c>
      <c r="M13" s="182">
        <f>IF($D13="CAL",ROUND((J13*(1+'Salary Inflation'!$C$35)),0),IF($D13="ACAD",(J13)*(1+'Salary Inflation'!$C$36),IF($D13="SUMR",(J13)*(1+'Salary Inflation'!$C$37),"NA")))</f>
        <v>0</v>
      </c>
      <c r="N13" s="151">
        <f>IF($D13="CAL",ROUND(M13*'RATES-Non Fed'!$G$38,0),IF($D13="ACAD",M13*'RATES-Non Fed'!$G$44,M13*'RATES-Non Fed'!$G$45))</f>
        <v>0</v>
      </c>
      <c r="O13" s="67">
        <f t="shared" si="1"/>
        <v>0</v>
      </c>
      <c r="P13" s="42">
        <f t="shared" si="3"/>
        <v>0</v>
      </c>
      <c r="Q13" s="1"/>
    </row>
    <row r="14" spans="1:16" ht="15.75">
      <c r="A14" s="1"/>
      <c r="B14" s="1"/>
      <c r="C14" s="3"/>
      <c r="D14" s="135" t="str">
        <f>IF(D13="ACAD",("SUMR"),"")</f>
        <v>SUMR</v>
      </c>
      <c r="E14" s="70">
        <v>0</v>
      </c>
      <c r="F14" s="94">
        <f t="shared" si="0"/>
        <v>0</v>
      </c>
      <c r="G14" s="69">
        <f>IF(D13="ACAD",+G13*0.428,0)</f>
        <v>0</v>
      </c>
      <c r="J14" s="182">
        <f>IF($D14="CAL",ROUND(($G14*(1+'Salary Inflation'!$B$35))*$E14,0),IF($D14="ACAD",($G14/0.9965)*(1+'Salary Inflation'!$O$46)*$E14,IF($D14="SUMR",($G14)*(1+'Salary Inflation'!$O$47)*$E14,"NA")))</f>
        <v>0</v>
      </c>
      <c r="K14" s="151">
        <f>IF($D14="CAL",ROUND(J14*'RATES-Non Fed'!$E$38,0),IF($D14="ACAD",J14*'RATES-Non Fed'!$E$44,J14*'RATES-Non Fed'!$E$45))</f>
        <v>0</v>
      </c>
      <c r="L14" s="67">
        <f t="shared" si="2"/>
        <v>0</v>
      </c>
      <c r="M14" s="182">
        <f>IF($D14="CAL",ROUND((J14*(1+'Salary Inflation'!$C$35)),0),IF($D14="ACAD",(J14)*(1+'Salary Inflation'!$C$36),IF($D14="SUMR",(J14)*(1+'Salary Inflation'!$C$37),"NA")))</f>
        <v>0</v>
      </c>
      <c r="N14" s="151">
        <f>IF($D14="CAL",ROUND(M14*'RATES-Non Fed'!$G$38,0),IF($D14="ACAD",M14*'RATES-Non Fed'!$G$44,M14*'RATES-Non Fed'!$G$45))</f>
        <v>0</v>
      </c>
      <c r="O14" s="67">
        <f t="shared" si="1"/>
        <v>0</v>
      </c>
      <c r="P14" s="42">
        <f t="shared" si="3"/>
        <v>0</v>
      </c>
    </row>
    <row r="15" spans="1:17" ht="15.75">
      <c r="A15" s="1"/>
      <c r="B15" s="1" t="s">
        <v>15</v>
      </c>
      <c r="C15" s="3"/>
      <c r="D15" s="135" t="s">
        <v>123</v>
      </c>
      <c r="E15" s="70">
        <v>0</v>
      </c>
      <c r="F15" s="94">
        <f t="shared" si="0"/>
        <v>0</v>
      </c>
      <c r="G15" s="69">
        <v>0</v>
      </c>
      <c r="J15" s="182">
        <f>IF($D15="CAL",ROUND(($G15*(1+'Salary Inflation'!$B$35))*$E15,0),IF($D15="ACAD",($G15/0.9965)*(1+'Salary Inflation'!$O$46)*$E15,IF($D15="SUMR",($G15)*(1+'Salary Inflation'!$O$47)*$E15,"NA")))</f>
        <v>0</v>
      </c>
      <c r="K15" s="151">
        <f>IF($D15="CAL",ROUND(J15*'RATES-Non Fed'!$E$38,0),IF($D15="ACAD",J15*'RATES-Non Fed'!$E$44,J15*'RATES-Non Fed'!$E$45))</f>
        <v>0</v>
      </c>
      <c r="L15" s="67">
        <f t="shared" si="2"/>
        <v>0</v>
      </c>
      <c r="M15" s="182">
        <f>IF($D15="CAL",ROUND((J15*(1+'Salary Inflation'!$C$35)),0),IF($D15="ACAD",(J15)*(1+'Salary Inflation'!$C$36),IF($D15="SUMR",(J15)*(1+'Salary Inflation'!$C$37),"NA")))</f>
        <v>0</v>
      </c>
      <c r="N15" s="151">
        <f>IF($D15="CAL",ROUND(M15*'RATES-Non Fed'!$G$38,0),IF($D15="ACAD",M15*'RATES-Non Fed'!$G$44,M15*'RATES-Non Fed'!$G$45))</f>
        <v>0</v>
      </c>
      <c r="O15" s="67">
        <f t="shared" si="1"/>
        <v>0</v>
      </c>
      <c r="P15" s="42">
        <f t="shared" si="3"/>
        <v>0</v>
      </c>
      <c r="Q15" s="1"/>
    </row>
    <row r="16" spans="1:16" ht="15.75">
      <c r="A16" s="1"/>
      <c r="B16" s="1"/>
      <c r="C16" s="3"/>
      <c r="D16" s="135" t="str">
        <f>IF(D15="ACAD",("SUMR"),"")</f>
        <v>SUMR</v>
      </c>
      <c r="E16" s="70">
        <v>0</v>
      </c>
      <c r="F16" s="94">
        <f t="shared" si="0"/>
        <v>0</v>
      </c>
      <c r="G16" s="69">
        <f>IF(D15="ACAD",+G15*0.428,0)</f>
        <v>0</v>
      </c>
      <c r="J16" s="182">
        <f>IF($D16="CAL",ROUND(($G16*(1+'Salary Inflation'!$B$35))*$E16,0),IF($D16="ACAD",($G16/0.9965)*(1+'Salary Inflation'!$O$46)*$E16,IF($D16="SUMR",($G16)*(1+'Salary Inflation'!$O$47)*$E16,"NA")))</f>
        <v>0</v>
      </c>
      <c r="K16" s="151">
        <f>IF($D16="CAL",ROUND(J16*'RATES-Non Fed'!$E$38,0),IF($D16="ACAD",J16*'RATES-Non Fed'!$E$44,J16*'RATES-Non Fed'!$E$45))</f>
        <v>0</v>
      </c>
      <c r="L16" s="67">
        <f t="shared" si="2"/>
        <v>0</v>
      </c>
      <c r="M16" s="182">
        <f>IF($D16="CAL",ROUND((J16*(1+'Salary Inflation'!$C$35)),0),IF($D16="ACAD",(J16)*(1+'Salary Inflation'!$C$36),IF($D16="SUMR",(J16)*(1+'Salary Inflation'!$C$37),"NA")))</f>
        <v>0</v>
      </c>
      <c r="N16" s="151">
        <f>IF($D16="CAL",ROUND(M16*'RATES-Non Fed'!$G$38,0),IF($D16="ACAD",M16*'RATES-Non Fed'!$G$44,M16*'RATES-Non Fed'!$G$45))</f>
        <v>0</v>
      </c>
      <c r="O16" s="67">
        <f t="shared" si="1"/>
        <v>0</v>
      </c>
      <c r="P16" s="42">
        <f t="shared" si="3"/>
        <v>0</v>
      </c>
    </row>
    <row r="17" spans="1:17" ht="15.75">
      <c r="A17" s="1"/>
      <c r="B17" s="1" t="s">
        <v>15</v>
      </c>
      <c r="C17" s="3"/>
      <c r="D17" s="135" t="s">
        <v>122</v>
      </c>
      <c r="E17" s="70">
        <v>0</v>
      </c>
      <c r="F17" s="94">
        <f t="shared" si="0"/>
        <v>0</v>
      </c>
      <c r="G17" s="69">
        <v>0</v>
      </c>
      <c r="J17" s="182">
        <f>IF($D17="CAL",ROUND(($G17*(1+'Salary Inflation'!$B$35))*$E17,0),IF($D17="ACAD",($G17/0.9965)*(1+'Salary Inflation'!$O$46)*$E17,IF($D17="SUMR",($G17)*(1+'Salary Inflation'!$O$47)*$E17,"NA")))</f>
        <v>0</v>
      </c>
      <c r="K17" s="151">
        <f>IF($D17="CAL",ROUND(J17*'RATES-Non Fed'!$E$38,0),IF($D17="ACAD",J17*'RATES-Non Fed'!$E$44,J17*'RATES-Non Fed'!$E$45))</f>
        <v>0</v>
      </c>
      <c r="L17" s="67">
        <f t="shared" si="2"/>
        <v>0</v>
      </c>
      <c r="M17" s="182">
        <f>IF($D17="CAL",ROUND((J17*(1+'Salary Inflation'!$C$35)),0),IF($D17="ACAD",(J17)*(1+'Salary Inflation'!$C$36),IF($D17="SUMR",(J17)*(1+'Salary Inflation'!$C$37),"NA")))</f>
        <v>0</v>
      </c>
      <c r="N17" s="151">
        <f>IF($D17="CAL",ROUND(M17*'RATES-Non Fed'!$G$38,0),IF($D17="ACAD",M17*'RATES-Non Fed'!$G$44,M17*'RATES-Non Fed'!$G$45))</f>
        <v>0</v>
      </c>
      <c r="O17" s="67">
        <f t="shared" si="1"/>
        <v>0</v>
      </c>
      <c r="P17" s="42">
        <f t="shared" si="3"/>
        <v>0</v>
      </c>
      <c r="Q17" s="1"/>
    </row>
    <row r="18" spans="1:16" ht="15.75">
      <c r="A18" s="1"/>
      <c r="B18" s="1" t="s">
        <v>15</v>
      </c>
      <c r="C18" s="3"/>
      <c r="D18" s="135" t="s">
        <v>122</v>
      </c>
      <c r="E18" s="70">
        <v>0</v>
      </c>
      <c r="F18" s="94">
        <f t="shared" si="0"/>
        <v>0</v>
      </c>
      <c r="G18" s="69">
        <v>0</v>
      </c>
      <c r="J18" s="195">
        <f>IF($D18="CAL",ROUND(($G18*(1+'Salary Inflation'!$B$35))*$E18,0),IF($D18="ACAD",($G18/0.9965)*(1+'Salary Inflation'!$O$46)*$E18,IF($D18="SUMR",($G18)*(1+'Salary Inflation'!$O$47)*$E18,"NA")))</f>
        <v>0</v>
      </c>
      <c r="K18" s="200">
        <f>IF($D18="CAL",ROUND(J18*'RATES-Non Fed'!$E$38,0),IF($D18="ACAD",J18*'RATES-Non Fed'!$E$44,J18*'RATES-Non Fed'!$E$45))</f>
        <v>0</v>
      </c>
      <c r="L18" s="201">
        <f t="shared" si="2"/>
        <v>0</v>
      </c>
      <c r="M18" s="195">
        <f>IF($D18="CAL",ROUND((J18*(1+'Salary Inflation'!$C$35)),0),IF($D18="ACAD",(J18)*(1+'Salary Inflation'!$C$36),IF($D18="SUMR",(J18)*(1+'Salary Inflation'!$C$37),"NA")))</f>
        <v>0</v>
      </c>
      <c r="N18" s="200">
        <f>IF($D18="CAL",ROUND(M18*'RATES-Non Fed'!$G$38,0),IF($D18="ACAD",M18*'RATES-Non Fed'!$G$44,M18*'RATES-Non Fed'!$G$45))</f>
        <v>0</v>
      </c>
      <c r="O18" s="201">
        <f t="shared" si="1"/>
        <v>0</v>
      </c>
      <c r="P18" s="198">
        <f t="shared" si="3"/>
        <v>0</v>
      </c>
    </row>
    <row r="19" spans="1:17" ht="15.75">
      <c r="A19" s="1"/>
      <c r="B19" s="1"/>
      <c r="C19" s="1"/>
      <c r="D19" s="25" t="s">
        <v>16</v>
      </c>
      <c r="E19" s="26"/>
      <c r="F19" s="26"/>
      <c r="G19" s="1"/>
      <c r="H19" s="1"/>
      <c r="I19" s="1"/>
      <c r="J19" s="199">
        <f aca="true" t="shared" si="4" ref="J19:P19">SUM(J11:J18)</f>
        <v>0</v>
      </c>
      <c r="K19" s="152">
        <f t="shared" si="4"/>
        <v>0</v>
      </c>
      <c r="L19" s="46">
        <f t="shared" si="4"/>
        <v>0</v>
      </c>
      <c r="M19" s="199">
        <f t="shared" si="4"/>
        <v>0</v>
      </c>
      <c r="N19" s="152">
        <f t="shared" si="4"/>
        <v>0</v>
      </c>
      <c r="O19" s="46">
        <f t="shared" si="4"/>
        <v>0</v>
      </c>
      <c r="P19" s="42">
        <f t="shared" si="4"/>
        <v>0</v>
      </c>
      <c r="Q19" s="6"/>
    </row>
    <row r="20" spans="1:15" ht="15.75">
      <c r="A20" s="21" t="s">
        <v>217</v>
      </c>
      <c r="B20" s="21" t="s">
        <v>218</v>
      </c>
      <c r="C20" s="1"/>
      <c r="D20" s="25"/>
      <c r="E20" s="26"/>
      <c r="F20" s="26"/>
      <c r="G20" s="1"/>
      <c r="H20" s="1"/>
      <c r="I20" s="1"/>
      <c r="J20" s="199"/>
      <c r="K20" s="152"/>
      <c r="L20" s="46"/>
      <c r="M20" s="42"/>
      <c r="N20" s="6"/>
      <c r="O20"/>
    </row>
    <row r="21" spans="1:16" ht="15.75">
      <c r="A21" s="1"/>
      <c r="B21" s="1" t="s">
        <v>15</v>
      </c>
      <c r="C21" s="3"/>
      <c r="D21" s="135" t="s">
        <v>122</v>
      </c>
      <c r="E21" s="70">
        <v>0</v>
      </c>
      <c r="F21" s="94">
        <f>IF(D21="CAL",(52*E21/4.3333),(IF(D21="ACAD",(32*E21/4.33333),IF(D21="SUMR",(14*E21/4.33333),IF(D21="PT",(0),0)))))</f>
        <v>0</v>
      </c>
      <c r="G21" s="69">
        <v>0</v>
      </c>
      <c r="J21" s="182">
        <f>ROUND(($G21*(1+'Salary Inflation'!$B$39))*$E21,0)</f>
        <v>0</v>
      </c>
      <c r="K21" s="151">
        <f>ROUND(J21*'RATES-Non Fed'!E40,0)</f>
        <v>0</v>
      </c>
      <c r="L21" s="67">
        <f>ROUND(K21+J21,0)</f>
        <v>0</v>
      </c>
      <c r="M21" s="182">
        <f>ROUND(J21*(1+'Salary Inflation'!$C$39),0)</f>
        <v>0</v>
      </c>
      <c r="N21" s="151">
        <f>ROUND(M21*'RATES-Non Fed'!G40,0)</f>
        <v>0</v>
      </c>
      <c r="O21" s="67">
        <f>ROUND(M21+N21,0)</f>
        <v>0</v>
      </c>
      <c r="P21" s="42">
        <f>SUM(L21+O21)</f>
        <v>0</v>
      </c>
    </row>
    <row r="22" spans="1:16" ht="15.75">
      <c r="A22" s="1"/>
      <c r="B22" s="1" t="s">
        <v>15</v>
      </c>
      <c r="C22" s="3"/>
      <c r="D22" s="135" t="s">
        <v>122</v>
      </c>
      <c r="E22" s="70">
        <v>0</v>
      </c>
      <c r="F22" s="94">
        <f>IF(D22="CAL",(52*E22/4.3333),(IF(D22="ACAD",(32*E22/4.33333),IF(D22="SUMR",(14*E22/4.33333),IF(D22="PT",(0),0)))))</f>
        <v>0</v>
      </c>
      <c r="G22" s="69">
        <v>0</v>
      </c>
      <c r="J22" s="182">
        <f>ROUND(($G22*(1+'Salary Inflation'!$B$39))*$E22,0)</f>
        <v>0</v>
      </c>
      <c r="K22" s="151">
        <f>ROUND(J22*'RATES-Non Fed'!E40,0)</f>
        <v>0</v>
      </c>
      <c r="L22" s="67">
        <f>ROUND(K22+J22,0)</f>
        <v>0</v>
      </c>
      <c r="M22" s="182">
        <f>ROUND(J22*(1+'Salary Inflation'!$C$39),0)</f>
        <v>0</v>
      </c>
      <c r="N22" s="151">
        <f>ROUND(M22*'RATES-Non Fed'!G40,0)</f>
        <v>0</v>
      </c>
      <c r="O22" s="67">
        <f>ROUND(M22+N22,0)</f>
        <v>0</v>
      </c>
      <c r="P22" s="42">
        <f>SUM(L22+O22)</f>
        <v>0</v>
      </c>
    </row>
    <row r="23" spans="1:16" ht="15.75">
      <c r="A23" s="1"/>
      <c r="B23" s="1" t="s">
        <v>15</v>
      </c>
      <c r="C23" s="3"/>
      <c r="D23" s="135" t="s">
        <v>122</v>
      </c>
      <c r="E23" s="70">
        <v>0</v>
      </c>
      <c r="F23" s="94">
        <f>IF(D23="CAL",(52*E23/4.3333),(IF(D23="ACAD",(32*E23/4.33333),IF(D23="SUMR",(14*E23/4.33333),IF(D23="PT",(0),0)))))</f>
        <v>0</v>
      </c>
      <c r="G23" s="69">
        <v>0</v>
      </c>
      <c r="J23" s="182">
        <f>ROUND(($G23*(1+'Salary Inflation'!$B$39))*$E23,0)</f>
        <v>0</v>
      </c>
      <c r="K23" s="151">
        <f>ROUND(J23*'RATES-Non Fed'!E40,0)</f>
        <v>0</v>
      </c>
      <c r="L23" s="67">
        <f>ROUND(K23+J23,0)</f>
        <v>0</v>
      </c>
      <c r="M23" s="182">
        <f>ROUND(J23*(1+'Salary Inflation'!$C$39),0)</f>
        <v>0</v>
      </c>
      <c r="N23" s="151">
        <f>ROUND(M23*'RATES-Non Fed'!G40,0)</f>
        <v>0</v>
      </c>
      <c r="O23" s="67">
        <f>ROUND(M23+N23,0)</f>
        <v>0</v>
      </c>
      <c r="P23" s="42">
        <f>SUM(L23+O23)</f>
        <v>0</v>
      </c>
    </row>
    <row r="24" spans="1:16" ht="15.75">
      <c r="A24" s="1"/>
      <c r="B24" s="1" t="s">
        <v>15</v>
      </c>
      <c r="C24" s="3"/>
      <c r="D24" s="135" t="s">
        <v>122</v>
      </c>
      <c r="E24" s="70">
        <v>0</v>
      </c>
      <c r="F24" s="94">
        <f>IF(D24="CAL",(52*E24/4.3333),(IF(D24="ACAD",(32*E24/4.33333),IF(D24="SUMR",(14*E24/4.33333),IF(D24="PT",(0),0)))))</f>
        <v>0</v>
      </c>
      <c r="G24" s="69">
        <v>0</v>
      </c>
      <c r="J24" s="195">
        <f>ROUND(($G24*(1+'Salary Inflation'!$B$39))*$E24,0)</f>
        <v>0</v>
      </c>
      <c r="K24" s="200">
        <f>ROUND(J24*'RATES-Non Fed'!E40,0)</f>
        <v>0</v>
      </c>
      <c r="L24" s="201">
        <f>ROUND(K24+J24,0)</f>
        <v>0</v>
      </c>
      <c r="M24" s="195">
        <f>ROUND(J24*(1+'Salary Inflation'!$C$39),0)</f>
        <v>0</v>
      </c>
      <c r="N24" s="200">
        <f>ROUND(M24*'RATES-Non Fed'!G40,0)</f>
        <v>0</v>
      </c>
      <c r="O24" s="201">
        <f>ROUND(M24+N24,0)</f>
        <v>0</v>
      </c>
      <c r="P24" s="42">
        <f>SUM(L24+O24)</f>
        <v>0</v>
      </c>
    </row>
    <row r="25" spans="1:16" ht="15.75">
      <c r="A25" s="1"/>
      <c r="B25" s="1"/>
      <c r="C25" s="1"/>
      <c r="D25" s="25" t="s">
        <v>222</v>
      </c>
      <c r="E25" s="26"/>
      <c r="F25" s="26"/>
      <c r="G25" s="1"/>
      <c r="H25" s="1"/>
      <c r="I25" s="1"/>
      <c r="J25" s="186">
        <f aca="true" t="shared" si="5" ref="J25:P25">SUM(J21:J24)</f>
        <v>0</v>
      </c>
      <c r="K25" s="152">
        <f t="shared" si="5"/>
        <v>0</v>
      </c>
      <c r="L25" s="46">
        <f t="shared" si="5"/>
        <v>0</v>
      </c>
      <c r="M25" s="76">
        <f t="shared" si="5"/>
        <v>0</v>
      </c>
      <c r="N25" s="6">
        <f t="shared" si="5"/>
        <v>0</v>
      </c>
      <c r="O25" s="76">
        <f t="shared" si="5"/>
        <v>0</v>
      </c>
      <c r="P25" s="76">
        <f t="shared" si="5"/>
        <v>0</v>
      </c>
    </row>
    <row r="26" spans="1:17" ht="7.5" customHeight="1">
      <c r="A26" s="1"/>
      <c r="B26" s="1"/>
      <c r="C26" s="1"/>
      <c r="D26" s="26"/>
      <c r="E26" s="26"/>
      <c r="F26" s="26"/>
      <c r="G26" s="1"/>
      <c r="H26" s="1"/>
      <c r="I26" s="1"/>
      <c r="J26" s="187"/>
      <c r="K26" s="152"/>
      <c r="L26" s="46"/>
      <c r="M26" s="181"/>
      <c r="N26" s="152"/>
      <c r="O26" s="46"/>
      <c r="P26" s="42"/>
      <c r="Q26" s="6"/>
    </row>
    <row r="27" spans="1:17" ht="15.75">
      <c r="A27" s="22" t="s">
        <v>219</v>
      </c>
      <c r="B27" s="22" t="s">
        <v>17</v>
      </c>
      <c r="C27" s="1"/>
      <c r="D27" s="26"/>
      <c r="E27" s="1"/>
      <c r="F27" s="1"/>
      <c r="G27" s="41"/>
      <c r="H27" s="1"/>
      <c r="I27" s="1"/>
      <c r="J27" s="185"/>
      <c r="K27" s="148"/>
      <c r="L27" s="138"/>
      <c r="M27" s="185"/>
      <c r="N27" s="152"/>
      <c r="O27" s="46"/>
      <c r="P27" s="42"/>
      <c r="Q27" s="6"/>
    </row>
    <row r="28" spans="1:17" ht="15.75">
      <c r="A28" s="1"/>
      <c r="C28" s="13" t="s">
        <v>86</v>
      </c>
      <c r="D28" s="41" t="s">
        <v>119</v>
      </c>
      <c r="E28" s="68"/>
      <c r="F28" s="68"/>
      <c r="G28" s="59"/>
      <c r="J28" s="182"/>
      <c r="K28" s="153"/>
      <c r="L28" s="50"/>
      <c r="M28" s="182"/>
      <c r="N28" s="163"/>
      <c r="O28" s="143"/>
      <c r="P28" s="42"/>
      <c r="Q28" s="5"/>
    </row>
    <row r="29" spans="1:17" ht="15.75">
      <c r="A29" s="1"/>
      <c r="C29" s="13"/>
      <c r="D29" s="1"/>
      <c r="E29" s="70">
        <v>0</v>
      </c>
      <c r="F29" s="93">
        <f>SUM(52*E29/4.3333)</f>
        <v>0</v>
      </c>
      <c r="G29" s="69">
        <v>0</v>
      </c>
      <c r="J29" s="182">
        <f>ROUND(($G29*(1+'Salary Inflation'!$B$38))*$E29,0)</f>
        <v>0</v>
      </c>
      <c r="K29" s="298">
        <v>0</v>
      </c>
      <c r="L29" s="299">
        <f>SUM(J29:K29)</f>
        <v>0</v>
      </c>
      <c r="M29" s="182">
        <f>ROUND(J29*(1+'Salary Inflation'!$C$38),0)</f>
        <v>0</v>
      </c>
      <c r="N29" s="153">
        <f>ROUND(M29*'RATES-Non Fed'!G39,0)</f>
        <v>0</v>
      </c>
      <c r="O29" s="50">
        <f>SUM(M29:N29)</f>
        <v>0</v>
      </c>
      <c r="P29" s="42">
        <f>SUM(L29+O29)</f>
        <v>0</v>
      </c>
      <c r="Q29" s="5"/>
    </row>
    <row r="30" spans="1:17" ht="15.75">
      <c r="A30" s="1"/>
      <c r="C30" s="13"/>
      <c r="D30" s="1"/>
      <c r="E30" s="70">
        <v>0</v>
      </c>
      <c r="F30" s="93">
        <f>SUM(52*E30/4.3333)</f>
        <v>0</v>
      </c>
      <c r="G30" s="69">
        <v>0</v>
      </c>
      <c r="J30" s="182">
        <f>ROUND(($G30*(1+'Salary Inflation'!$B$38))*$E30,0)</f>
        <v>0</v>
      </c>
      <c r="K30" s="298">
        <v>0</v>
      </c>
      <c r="L30" s="299">
        <f>SUM(J30:K30)</f>
        <v>0</v>
      </c>
      <c r="M30" s="182">
        <f>ROUND(J30*(1+'Salary Inflation'!$C$38),0)</f>
        <v>0</v>
      </c>
      <c r="N30" s="153">
        <f>ROUND(M30*'RATES-Non Fed'!G39,0)</f>
        <v>0</v>
      </c>
      <c r="O30" s="50">
        <f>SUM(M30:N30)</f>
        <v>0</v>
      </c>
      <c r="P30" s="42">
        <f>SUM(L30+O30)</f>
        <v>0</v>
      </c>
      <c r="Q30" s="5"/>
    </row>
    <row r="31" spans="1:17" ht="15.75">
      <c r="A31" s="1"/>
      <c r="C31" s="13"/>
      <c r="D31" s="1"/>
      <c r="E31" s="70">
        <v>0</v>
      </c>
      <c r="F31" s="93">
        <f>SUM(52*E31/4.3333)</f>
        <v>0</v>
      </c>
      <c r="G31" s="69">
        <v>0</v>
      </c>
      <c r="J31" s="195">
        <f>ROUND(($G31*(1+'Salary Inflation'!$B$38))*$E31,0)</f>
        <v>0</v>
      </c>
      <c r="K31" s="300">
        <v>0</v>
      </c>
      <c r="L31" s="301">
        <f>SUM(J31:K31)</f>
        <v>0</v>
      </c>
      <c r="M31" s="195">
        <f>ROUND(J31*(1+'Salary Inflation'!$C$38),0)</f>
        <v>0</v>
      </c>
      <c r="N31" s="196">
        <f>ROUND(M31*'RATES-Non Fed'!G39,0)</f>
        <v>0</v>
      </c>
      <c r="O31" s="197">
        <f>SUM(M31:N31)</f>
        <v>0</v>
      </c>
      <c r="P31" s="198">
        <f>SUM(L31+O31)</f>
        <v>0</v>
      </c>
      <c r="Q31" s="5"/>
    </row>
    <row r="32" spans="1:17" ht="15.75">
      <c r="A32" s="1"/>
      <c r="C32" s="13"/>
      <c r="D32" s="1" t="s">
        <v>120</v>
      </c>
      <c r="E32" s="70"/>
      <c r="F32" s="70"/>
      <c r="G32" s="69"/>
      <c r="J32" s="182">
        <f aca="true" t="shared" si="6" ref="J32:P32">SUM(J29:J31)</f>
        <v>0</v>
      </c>
      <c r="K32" s="298">
        <f t="shared" si="6"/>
        <v>0</v>
      </c>
      <c r="L32" s="299">
        <f t="shared" si="6"/>
        <v>0</v>
      </c>
      <c r="M32" s="182">
        <f t="shared" si="6"/>
        <v>0</v>
      </c>
      <c r="N32" s="163">
        <f t="shared" si="6"/>
        <v>0</v>
      </c>
      <c r="O32" s="143">
        <f t="shared" si="6"/>
        <v>0</v>
      </c>
      <c r="P32" s="42">
        <f t="shared" si="6"/>
        <v>0</v>
      </c>
      <c r="Q32" s="5"/>
    </row>
    <row r="33" spans="1:17" ht="9.75" customHeight="1">
      <c r="A33" s="1"/>
      <c r="C33" s="13"/>
      <c r="D33" s="1"/>
      <c r="E33" s="70"/>
      <c r="F33" s="70"/>
      <c r="G33" s="69"/>
      <c r="J33" s="182"/>
      <c r="K33" s="298"/>
      <c r="L33" s="299"/>
      <c r="M33" s="182"/>
      <c r="N33" s="163"/>
      <c r="O33" s="143"/>
      <c r="P33" s="42"/>
      <c r="Q33" s="5"/>
    </row>
    <row r="34" spans="1:17" ht="15.75">
      <c r="A34" s="1"/>
      <c r="C34" s="13" t="s">
        <v>87</v>
      </c>
      <c r="D34" s="1"/>
      <c r="E34" s="70">
        <v>0</v>
      </c>
      <c r="F34" s="93">
        <f>SUM(52*E34/4.3333)</f>
        <v>0</v>
      </c>
      <c r="G34" s="69">
        <v>0</v>
      </c>
      <c r="J34" s="182">
        <f>ROUND(($G34*(1+'Salary Inflation'!$B$38))*$E34,0)</f>
        <v>0</v>
      </c>
      <c r="K34" s="298">
        <v>0</v>
      </c>
      <c r="L34" s="299">
        <f>SUM(J34:K34)</f>
        <v>0</v>
      </c>
      <c r="M34" s="182">
        <f>ROUND(J34*(1+'Salary Inflation'!$C$38),0)</f>
        <v>0</v>
      </c>
      <c r="N34" s="153">
        <f>ROUND(M34*'RATES-Non Fed'!G43,0)</f>
        <v>0</v>
      </c>
      <c r="O34" s="50">
        <f>SUM(M34:N34)</f>
        <v>0</v>
      </c>
      <c r="P34" s="42">
        <f>SUM(L34+O34)</f>
        <v>0</v>
      </c>
      <c r="Q34" s="5"/>
    </row>
    <row r="35" spans="1:17" ht="15.75">
      <c r="A35" s="1"/>
      <c r="C35" s="13" t="s">
        <v>18</v>
      </c>
      <c r="D35" s="1"/>
      <c r="E35" s="70">
        <v>0</v>
      </c>
      <c r="F35" s="93">
        <f>SUM(52*E35/4.3333)</f>
        <v>0</v>
      </c>
      <c r="G35" s="69">
        <v>0</v>
      </c>
      <c r="J35" s="182">
        <f>ROUND(($G35*(1+'Salary Inflation'!$B$38))*$E35,0)</f>
        <v>0</v>
      </c>
      <c r="K35" s="298">
        <v>0</v>
      </c>
      <c r="L35" s="299">
        <f>SUM(J35:K35)</f>
        <v>0</v>
      </c>
      <c r="M35" s="182">
        <f>ROUND(J35*(1+'Salary Inflation'!$C$38),0)</f>
        <v>0</v>
      </c>
      <c r="N35" s="153">
        <f>ROUND(M35*'RATES-Non Fed'!G42,0)</f>
        <v>0</v>
      </c>
      <c r="O35" s="50">
        <f>SUM(M35:N35)</f>
        <v>0</v>
      </c>
      <c r="P35" s="42">
        <f>SUM(L35+O35)</f>
        <v>0</v>
      </c>
      <c r="Q35" s="5"/>
    </row>
    <row r="36" spans="1:17" ht="15.75">
      <c r="A36" s="1"/>
      <c r="C36" s="13" t="s">
        <v>19</v>
      </c>
      <c r="D36" s="1"/>
      <c r="E36" s="70">
        <v>0</v>
      </c>
      <c r="F36" s="93">
        <f>SUM(52*E36/4.3333)</f>
        <v>0</v>
      </c>
      <c r="G36" s="69">
        <v>0</v>
      </c>
      <c r="J36" s="182">
        <f>ROUND(($G36*(1+'Salary Inflation'!$B$38))*$E36,0)</f>
        <v>0</v>
      </c>
      <c r="K36" s="298">
        <v>0</v>
      </c>
      <c r="L36" s="299">
        <f>SUM(J36:K36)</f>
        <v>0</v>
      </c>
      <c r="M36" s="182">
        <f>ROUND(J36*(1+'Salary Inflation'!$C$38),0)</f>
        <v>0</v>
      </c>
      <c r="N36" s="153">
        <f>ROUND(M36*'RATES-Non Fed'!G42,0)</f>
        <v>0</v>
      </c>
      <c r="O36" s="50">
        <f>SUM(M36:N36)</f>
        <v>0</v>
      </c>
      <c r="P36" s="42">
        <f>SUM(L36+O36)</f>
        <v>0</v>
      </c>
      <c r="Q36" s="5"/>
    </row>
    <row r="37" spans="1:19" s="90" customFormat="1" ht="15.75">
      <c r="A37" s="138"/>
      <c r="C37" s="137" t="s">
        <v>20</v>
      </c>
      <c r="D37" s="138"/>
      <c r="E37" s="70">
        <v>0</v>
      </c>
      <c r="F37" s="93">
        <f>SUM(52*E37/4.3333)</f>
        <v>0</v>
      </c>
      <c r="G37" s="69">
        <v>0</v>
      </c>
      <c r="J37" s="182">
        <f>ROUND(($G37*(1+'Salary Inflation'!$B$38))*$E37,0)</f>
        <v>0</v>
      </c>
      <c r="K37" s="298">
        <v>0</v>
      </c>
      <c r="L37" s="299">
        <f>SUM(J37:K37)</f>
        <v>0</v>
      </c>
      <c r="M37" s="182">
        <f>ROUND(J37*(1+'Salary Inflation'!$C$38),0)</f>
        <v>0</v>
      </c>
      <c r="N37" s="153">
        <f>ROUND(M37*'RATES-Non Fed'!G43,0)</f>
        <v>0</v>
      </c>
      <c r="O37" s="50">
        <f>SUM(M37:N37)</f>
        <v>0</v>
      </c>
      <c r="P37" s="42">
        <f>SUM(L37+O37)</f>
        <v>0</v>
      </c>
      <c r="Q37" s="145"/>
      <c r="S37"/>
    </row>
    <row r="38" spans="1:19" s="90" customFormat="1" ht="15.75">
      <c r="A38" s="138"/>
      <c r="C38" s="137" t="s">
        <v>88</v>
      </c>
      <c r="D38" s="138"/>
      <c r="E38" s="70">
        <v>0</v>
      </c>
      <c r="F38" s="93">
        <f>SUM(52*E38/4.3333)</f>
        <v>0</v>
      </c>
      <c r="G38" s="69">
        <v>0</v>
      </c>
      <c r="J38" s="195">
        <f>ROUND(($G38*(1+'Salary Inflation'!$B$38))*$E38,0)</f>
        <v>0</v>
      </c>
      <c r="K38" s="300">
        <v>0</v>
      </c>
      <c r="L38" s="301">
        <f>SUM(J38:K38)</f>
        <v>0</v>
      </c>
      <c r="M38" s="195">
        <f>ROUND(J38*(1+'Salary Inflation'!$C$38),0)</f>
        <v>0</v>
      </c>
      <c r="N38" s="203">
        <f>ROUND(M38*'RATES-Non Fed'!G41,0)</f>
        <v>0</v>
      </c>
      <c r="O38" s="197">
        <f>SUM(M38:N38)</f>
        <v>0</v>
      </c>
      <c r="P38" s="198">
        <f>SUM(L38+O38)</f>
        <v>0</v>
      </c>
      <c r="Q38" s="145"/>
      <c r="S38"/>
    </row>
    <row r="39" spans="1:19" ht="15.75">
      <c r="A39" s="1"/>
      <c r="B39" s="1"/>
      <c r="C39" s="1"/>
      <c r="D39" s="183" t="s">
        <v>183</v>
      </c>
      <c r="E39" s="26"/>
      <c r="F39" s="26"/>
      <c r="G39" s="1"/>
      <c r="H39" s="1"/>
      <c r="I39" s="1"/>
      <c r="J39" s="202">
        <f aca="true" t="shared" si="7" ref="J39:O39">SUM(J19+J25+J32+J34+J35+J36+J37+J38)</f>
        <v>0</v>
      </c>
      <c r="K39" s="153">
        <f t="shared" si="7"/>
        <v>0</v>
      </c>
      <c r="L39" s="50">
        <f t="shared" si="7"/>
        <v>0</v>
      </c>
      <c r="M39" s="202">
        <f t="shared" si="7"/>
        <v>0</v>
      </c>
      <c r="N39" s="153">
        <f t="shared" si="7"/>
        <v>0</v>
      </c>
      <c r="O39" s="50">
        <f t="shared" si="7"/>
        <v>0</v>
      </c>
      <c r="P39" s="42">
        <f>SUM(P34:P38)</f>
        <v>0</v>
      </c>
      <c r="Q39" s="5"/>
      <c r="S39" s="207"/>
    </row>
    <row r="40" spans="1:19" ht="7.5" customHeight="1">
      <c r="A40" s="1"/>
      <c r="B40" s="1"/>
      <c r="C40" s="1"/>
      <c r="D40" s="26"/>
      <c r="E40" s="26"/>
      <c r="F40" s="26"/>
      <c r="G40" s="26"/>
      <c r="H40" s="26"/>
      <c r="I40" s="26"/>
      <c r="J40" s="52"/>
      <c r="K40" s="152"/>
      <c r="L40" s="171"/>
      <c r="M40" s="64"/>
      <c r="P40" s="64" t="s">
        <v>1</v>
      </c>
      <c r="Q40" s="6"/>
      <c r="S40" s="207"/>
    </row>
    <row r="41" spans="1:19" s="31" customFormat="1" ht="15.75">
      <c r="A41" s="40" t="s">
        <v>23</v>
      </c>
      <c r="B41" s="21"/>
      <c r="D41" s="28"/>
      <c r="E41" s="28"/>
      <c r="F41" s="28"/>
      <c r="G41" s="28"/>
      <c r="H41" s="28"/>
      <c r="I41" s="28"/>
      <c r="J41" s="47">
        <f>SUM(J39+K39)</f>
        <v>0</v>
      </c>
      <c r="K41" s="154"/>
      <c r="L41" s="173"/>
      <c r="M41" s="47">
        <f>SUM(M39+N39)</f>
        <v>0</v>
      </c>
      <c r="N41" s="154"/>
      <c r="O41" s="139"/>
      <c r="P41" s="47">
        <f>SUM(J41+M41)</f>
        <v>0</v>
      </c>
      <c r="Q41" s="29"/>
      <c r="S41"/>
    </row>
    <row r="42" spans="1:17" ht="8.25" customHeight="1">
      <c r="A42" s="1"/>
      <c r="B42" s="1"/>
      <c r="C42" s="28"/>
      <c r="D42" s="26"/>
      <c r="E42" s="26"/>
      <c r="F42" s="26"/>
      <c r="G42" s="26"/>
      <c r="H42" s="26"/>
      <c r="I42" s="26"/>
      <c r="J42" s="52"/>
      <c r="K42" s="152"/>
      <c r="L42" s="171"/>
      <c r="M42" s="46"/>
      <c r="N42" s="152"/>
      <c r="O42" s="46"/>
      <c r="P42" s="46" t="s">
        <v>1</v>
      </c>
      <c r="Q42" s="6"/>
    </row>
    <row r="43" spans="1:19" ht="15.75">
      <c r="A43" s="22" t="s">
        <v>24</v>
      </c>
      <c r="B43" s="22" t="s">
        <v>25</v>
      </c>
      <c r="C43" s="21"/>
      <c r="D43" s="26"/>
      <c r="E43" s="26"/>
      <c r="F43" s="26"/>
      <c r="G43" s="26"/>
      <c r="H43" s="26"/>
      <c r="I43" s="26"/>
      <c r="J43" s="52"/>
      <c r="K43" s="152"/>
      <c r="L43" s="171"/>
      <c r="M43" s="50"/>
      <c r="N43" s="152"/>
      <c r="O43" s="46"/>
      <c r="P43" s="50" t="s">
        <v>1</v>
      </c>
      <c r="Q43" s="6"/>
      <c r="S43" s="31"/>
    </row>
    <row r="44" spans="1:17" ht="15.75">
      <c r="A44" s="21"/>
      <c r="B44" s="21"/>
      <c r="C44" s="10" t="s">
        <v>26</v>
      </c>
      <c r="D44" s="30"/>
      <c r="E44" s="30"/>
      <c r="F44" s="30"/>
      <c r="G44" s="30"/>
      <c r="H44" s="30"/>
      <c r="I44" s="30"/>
      <c r="J44" s="42">
        <v>0</v>
      </c>
      <c r="K44" s="152"/>
      <c r="L44" s="171"/>
      <c r="M44" s="42">
        <v>0</v>
      </c>
      <c r="N44" s="153"/>
      <c r="O44" s="50"/>
      <c r="P44" s="42">
        <f>SUM(J44:O44)</f>
        <v>0</v>
      </c>
      <c r="Q44" s="6"/>
    </row>
    <row r="45" spans="1:17" ht="15.75">
      <c r="A45" s="21"/>
      <c r="B45" s="21"/>
      <c r="C45" s="10" t="s">
        <v>26</v>
      </c>
      <c r="D45" s="30"/>
      <c r="E45" s="30"/>
      <c r="F45" s="30"/>
      <c r="G45" s="30"/>
      <c r="H45" s="30"/>
      <c r="I45" s="30"/>
      <c r="J45" s="42">
        <v>0</v>
      </c>
      <c r="K45" s="152"/>
      <c r="L45" s="171"/>
      <c r="M45" s="42">
        <v>0</v>
      </c>
      <c r="N45" s="153"/>
      <c r="O45" s="50"/>
      <c r="P45" s="42">
        <f>SUM(J45:O45)</f>
        <v>0</v>
      </c>
      <c r="Q45" s="6"/>
    </row>
    <row r="46" spans="1:17" ht="15.75">
      <c r="A46" s="21"/>
      <c r="B46" s="21"/>
      <c r="C46" s="27" t="s">
        <v>27</v>
      </c>
      <c r="D46" s="28"/>
      <c r="E46" s="28"/>
      <c r="F46" s="28"/>
      <c r="G46" s="28"/>
      <c r="H46" s="28"/>
      <c r="I46" s="28"/>
      <c r="J46" s="53">
        <f>SUM(J44:J45)</f>
        <v>0</v>
      </c>
      <c r="K46" s="155"/>
      <c r="L46" s="174"/>
      <c r="M46" s="53">
        <f>SUM(M44:M45)</f>
        <v>0</v>
      </c>
      <c r="N46" s="155"/>
      <c r="O46" s="48"/>
      <c r="P46" s="53">
        <f>SUM(J46:O46)</f>
        <v>0</v>
      </c>
      <c r="Q46" s="29"/>
    </row>
    <row r="47" spans="1:16" ht="9" customHeight="1">
      <c r="A47" s="1"/>
      <c r="B47" s="1"/>
      <c r="C47" s="28"/>
      <c r="D47" s="26"/>
      <c r="E47" s="26"/>
      <c r="F47" s="26"/>
      <c r="G47" s="26"/>
      <c r="H47" s="26"/>
      <c r="I47" s="26"/>
      <c r="J47" s="52"/>
      <c r="K47" s="152"/>
      <c r="L47" s="171"/>
      <c r="M47" s="46"/>
      <c r="N47" s="152"/>
      <c r="O47" s="46"/>
      <c r="P47" s="46"/>
    </row>
    <row r="48" spans="1:17" ht="15.75">
      <c r="A48" s="22" t="s">
        <v>28</v>
      </c>
      <c r="B48" s="22" t="s">
        <v>29</v>
      </c>
      <c r="C48" s="1"/>
      <c r="D48" s="21"/>
      <c r="E48" s="21"/>
      <c r="F48" s="21"/>
      <c r="G48" s="1"/>
      <c r="H48" s="1"/>
      <c r="I48" s="1"/>
      <c r="J48" s="54"/>
      <c r="K48" s="153"/>
      <c r="L48" s="172"/>
      <c r="M48" s="45" t="s">
        <v>1</v>
      </c>
      <c r="N48" s="153"/>
      <c r="O48" s="50"/>
      <c r="P48" s="45"/>
      <c r="Q48" s="5"/>
    </row>
    <row r="49" spans="1:17" ht="15.75">
      <c r="A49" s="21"/>
      <c r="B49" s="21"/>
      <c r="C49" s="13" t="s">
        <v>30</v>
      </c>
      <c r="D49" s="10" t="s">
        <v>26</v>
      </c>
      <c r="E49" s="31"/>
      <c r="F49" s="31"/>
      <c r="J49" s="42">
        <v>0</v>
      </c>
      <c r="K49" s="153"/>
      <c r="L49" s="172"/>
      <c r="M49" s="42">
        <f>ROUND((J49*1.02),0)</f>
        <v>0</v>
      </c>
      <c r="N49" s="163"/>
      <c r="O49" s="143"/>
      <c r="P49" s="42">
        <f>SUM(J49:O49)</f>
        <v>0</v>
      </c>
      <c r="Q49" s="5"/>
    </row>
    <row r="50" spans="1:17" ht="15.75">
      <c r="A50" s="21"/>
      <c r="B50" s="21"/>
      <c r="C50" s="13" t="s">
        <v>31</v>
      </c>
      <c r="D50" s="10" t="s">
        <v>26</v>
      </c>
      <c r="E50" s="31"/>
      <c r="F50" s="31"/>
      <c r="J50" s="42">
        <v>0</v>
      </c>
      <c r="K50" s="153"/>
      <c r="L50" s="172"/>
      <c r="M50" s="42">
        <f>ROUND((J50*1.02),0)</f>
        <v>0</v>
      </c>
      <c r="N50" s="163"/>
      <c r="O50" s="143"/>
      <c r="P50" s="42">
        <f>SUM(J50:O50)</f>
        <v>0</v>
      </c>
      <c r="Q50" s="5"/>
    </row>
    <row r="51" spans="1:19" s="31" customFormat="1" ht="15.75">
      <c r="A51" s="21"/>
      <c r="B51" s="21"/>
      <c r="C51" s="27" t="s">
        <v>32</v>
      </c>
      <c r="D51" s="28"/>
      <c r="E51" s="28"/>
      <c r="F51" s="28"/>
      <c r="G51" s="28"/>
      <c r="H51" s="28"/>
      <c r="I51" s="28"/>
      <c r="J51" s="53">
        <f>SUM(J49:J50)</f>
        <v>0</v>
      </c>
      <c r="K51" s="155"/>
      <c r="L51" s="174"/>
      <c r="M51" s="55">
        <f>SUM(M49:M50)</f>
        <v>0</v>
      </c>
      <c r="N51" s="155"/>
      <c r="O51" s="48"/>
      <c r="P51" s="55">
        <f>SUM(J51:O51)</f>
        <v>0</v>
      </c>
      <c r="Q51" s="29"/>
      <c r="S51"/>
    </row>
    <row r="52" spans="1:19" s="31" customFormat="1" ht="9" customHeight="1">
      <c r="A52" s="21"/>
      <c r="B52" s="21"/>
      <c r="C52" s="27"/>
      <c r="D52" s="28"/>
      <c r="E52" s="28"/>
      <c r="F52" s="28"/>
      <c r="G52" s="28"/>
      <c r="H52" s="28"/>
      <c r="I52" s="28"/>
      <c r="J52" s="61"/>
      <c r="K52" s="155"/>
      <c r="L52" s="174"/>
      <c r="M52" s="277"/>
      <c r="N52" s="155"/>
      <c r="O52" s="48"/>
      <c r="P52" s="277"/>
      <c r="Q52" s="29"/>
      <c r="S52"/>
    </row>
    <row r="53" spans="1:19" ht="15.75">
      <c r="A53" s="22" t="s">
        <v>33</v>
      </c>
      <c r="B53" s="22" t="s">
        <v>34</v>
      </c>
      <c r="C53" s="21"/>
      <c r="D53" s="21"/>
      <c r="E53" s="21"/>
      <c r="F53" s="21"/>
      <c r="G53" s="1"/>
      <c r="H53" s="1"/>
      <c r="I53" s="1"/>
      <c r="J53" s="54" t="s">
        <v>1</v>
      </c>
      <c r="K53" s="153"/>
      <c r="L53" s="172"/>
      <c r="M53" s="42" t="s">
        <v>1</v>
      </c>
      <c r="N53" s="153"/>
      <c r="O53" s="50"/>
      <c r="P53" s="42"/>
      <c r="Q53" s="5"/>
      <c r="S53" s="31"/>
    </row>
    <row r="54" spans="1:17" ht="15.75">
      <c r="A54" s="21"/>
      <c r="B54" s="21"/>
      <c r="C54" s="13" t="s">
        <v>35</v>
      </c>
      <c r="D54" s="3"/>
      <c r="E54" s="31"/>
      <c r="F54" s="31"/>
      <c r="J54" s="42">
        <v>0</v>
      </c>
      <c r="K54" s="153"/>
      <c r="L54" s="172"/>
      <c r="M54" s="42">
        <f aca="true" t="shared" si="8" ref="M54:M60">ROUND((J54*1.02),0)</f>
        <v>0</v>
      </c>
      <c r="N54" s="163"/>
      <c r="O54" s="143"/>
      <c r="P54" s="42">
        <f aca="true" t="shared" si="9" ref="P54:P65">SUM(J54:O54)</f>
        <v>0</v>
      </c>
      <c r="Q54" s="5"/>
    </row>
    <row r="55" spans="1:17" ht="15.75">
      <c r="A55" s="21"/>
      <c r="B55" s="21"/>
      <c r="C55" s="13" t="s">
        <v>36</v>
      </c>
      <c r="D55" s="3"/>
      <c r="E55" s="31"/>
      <c r="F55" s="31"/>
      <c r="J55" s="42">
        <v>0</v>
      </c>
      <c r="K55" s="153"/>
      <c r="L55" s="172"/>
      <c r="M55" s="42">
        <f t="shared" si="8"/>
        <v>0</v>
      </c>
      <c r="N55" s="163"/>
      <c r="O55" s="143"/>
      <c r="P55" s="42">
        <f t="shared" si="9"/>
        <v>0</v>
      </c>
      <c r="Q55" s="5"/>
    </row>
    <row r="56" spans="1:17" ht="15.75">
      <c r="A56" s="21"/>
      <c r="B56" s="21"/>
      <c r="C56" s="13" t="s">
        <v>37</v>
      </c>
      <c r="D56" s="3"/>
      <c r="E56" s="31"/>
      <c r="F56" s="31"/>
      <c r="J56" s="42">
        <v>0</v>
      </c>
      <c r="K56" s="153"/>
      <c r="L56" s="172"/>
      <c r="M56" s="42">
        <f t="shared" si="8"/>
        <v>0</v>
      </c>
      <c r="N56" s="163"/>
      <c r="O56" s="143"/>
      <c r="P56" s="42">
        <f t="shared" si="9"/>
        <v>0</v>
      </c>
      <c r="Q56" s="5"/>
    </row>
    <row r="57" spans="1:17" ht="15.75">
      <c r="A57" s="21"/>
      <c r="B57" s="21"/>
      <c r="C57" s="13" t="s">
        <v>277</v>
      </c>
      <c r="D57" s="3"/>
      <c r="E57" s="31"/>
      <c r="F57" s="31"/>
      <c r="J57" s="42">
        <v>0</v>
      </c>
      <c r="K57" s="153"/>
      <c r="L57" s="172"/>
      <c r="M57" s="42">
        <f t="shared" si="8"/>
        <v>0</v>
      </c>
      <c r="N57" s="163"/>
      <c r="O57" s="143"/>
      <c r="P57" s="42">
        <f t="shared" si="9"/>
        <v>0</v>
      </c>
      <c r="Q57" s="5"/>
    </row>
    <row r="58" spans="1:17" ht="15.75">
      <c r="A58" s="21"/>
      <c r="B58" s="21"/>
      <c r="C58" s="225" t="s">
        <v>100</v>
      </c>
      <c r="D58" s="3"/>
      <c r="E58" s="31"/>
      <c r="F58" s="31"/>
      <c r="J58" s="42">
        <v>0</v>
      </c>
      <c r="K58" s="153"/>
      <c r="L58" s="172"/>
      <c r="M58" s="42">
        <f t="shared" si="8"/>
        <v>0</v>
      </c>
      <c r="N58" s="163"/>
      <c r="O58" s="143"/>
      <c r="P58" s="42">
        <f t="shared" si="9"/>
        <v>0</v>
      </c>
      <c r="Q58" s="5"/>
    </row>
    <row r="59" spans="1:17" ht="15.75">
      <c r="A59" s="21"/>
      <c r="B59" s="21"/>
      <c r="C59" s="13" t="s">
        <v>276</v>
      </c>
      <c r="D59" s="3"/>
      <c r="E59" s="31"/>
      <c r="F59" s="31"/>
      <c r="J59" s="42">
        <v>0</v>
      </c>
      <c r="K59" s="153"/>
      <c r="L59" s="172"/>
      <c r="M59" s="42">
        <f t="shared" si="8"/>
        <v>0</v>
      </c>
      <c r="N59" s="164"/>
      <c r="O59" s="42"/>
      <c r="P59" s="42">
        <f t="shared" si="9"/>
        <v>0</v>
      </c>
      <c r="Q59" s="5"/>
    </row>
    <row r="60" spans="1:17" ht="15.75">
      <c r="A60" s="21"/>
      <c r="B60" s="21"/>
      <c r="C60" s="13" t="s">
        <v>38</v>
      </c>
      <c r="D60" s="21"/>
      <c r="E60" s="21"/>
      <c r="F60" s="21"/>
      <c r="G60" s="1"/>
      <c r="H60" s="1"/>
      <c r="I60" s="1"/>
      <c r="J60" s="42">
        <v>0</v>
      </c>
      <c r="K60" s="153"/>
      <c r="L60" s="172"/>
      <c r="M60" s="42">
        <f t="shared" si="8"/>
        <v>0</v>
      </c>
      <c r="N60" s="164"/>
      <c r="O60" s="42"/>
      <c r="P60" s="42">
        <f t="shared" si="9"/>
        <v>0</v>
      </c>
      <c r="Q60" s="5"/>
    </row>
    <row r="61" spans="1:18" ht="15.75">
      <c r="A61" s="21"/>
      <c r="B61" s="21"/>
      <c r="C61" s="22" t="s">
        <v>39</v>
      </c>
      <c r="D61" s="10"/>
      <c r="E61" s="31"/>
      <c r="F61" s="31"/>
      <c r="J61" s="42">
        <v>0</v>
      </c>
      <c r="K61" s="153"/>
      <c r="L61" s="172"/>
      <c r="M61" s="42">
        <v>0</v>
      </c>
      <c r="N61" s="163"/>
      <c r="O61" s="143"/>
      <c r="P61" s="42">
        <f t="shared" si="9"/>
        <v>0</v>
      </c>
      <c r="Q61" s="5"/>
      <c r="R61" s="76"/>
    </row>
    <row r="62" spans="1:18" ht="15.75">
      <c r="A62" s="21"/>
      <c r="B62" s="21"/>
      <c r="C62" s="63" t="s">
        <v>40</v>
      </c>
      <c r="D62" s="10"/>
      <c r="E62" s="31"/>
      <c r="F62" s="31"/>
      <c r="J62" s="42">
        <v>0</v>
      </c>
      <c r="K62" s="153"/>
      <c r="L62" s="172"/>
      <c r="M62" s="42">
        <v>0</v>
      </c>
      <c r="N62" s="163"/>
      <c r="O62" s="143"/>
      <c r="P62" s="42">
        <f t="shared" si="9"/>
        <v>0</v>
      </c>
      <c r="Q62" s="5"/>
      <c r="R62" s="76"/>
    </row>
    <row r="63" spans="1:18" ht="15.75">
      <c r="A63" s="21"/>
      <c r="B63" s="21"/>
      <c r="C63" s="63" t="s">
        <v>93</v>
      </c>
      <c r="D63" s="10"/>
      <c r="E63" s="31"/>
      <c r="F63" s="31"/>
      <c r="J63" s="42">
        <v>0</v>
      </c>
      <c r="K63" s="153"/>
      <c r="L63" s="172"/>
      <c r="M63" s="42">
        <v>0</v>
      </c>
      <c r="N63" s="163"/>
      <c r="O63" s="143"/>
      <c r="P63" s="42">
        <f t="shared" si="9"/>
        <v>0</v>
      </c>
      <c r="Q63" s="5"/>
      <c r="R63" s="76"/>
    </row>
    <row r="64" spans="1:18" ht="15.75">
      <c r="A64" s="21"/>
      <c r="B64" s="21"/>
      <c r="C64" s="63" t="s">
        <v>94</v>
      </c>
      <c r="D64" s="10"/>
      <c r="E64" s="31"/>
      <c r="F64" s="31"/>
      <c r="J64" s="42">
        <v>0</v>
      </c>
      <c r="K64" s="153"/>
      <c r="L64" s="172"/>
      <c r="M64" s="42">
        <v>0</v>
      </c>
      <c r="N64" s="163"/>
      <c r="O64" s="143"/>
      <c r="P64" s="42">
        <f t="shared" si="9"/>
        <v>0</v>
      </c>
      <c r="Q64" s="5"/>
      <c r="R64" s="76"/>
    </row>
    <row r="65" spans="1:18" ht="15.75">
      <c r="A65" s="40" t="s">
        <v>41</v>
      </c>
      <c r="D65" s="28"/>
      <c r="E65" s="28"/>
      <c r="F65" s="28"/>
      <c r="G65" s="28"/>
      <c r="H65" s="28"/>
      <c r="I65" s="28"/>
      <c r="J65" s="51">
        <f>SUM(J54:J64)</f>
        <v>0</v>
      </c>
      <c r="K65" s="156"/>
      <c r="L65" s="175"/>
      <c r="M65" s="43">
        <f>SUM(M54:M64)</f>
        <v>0</v>
      </c>
      <c r="N65" s="156"/>
      <c r="O65" s="44"/>
      <c r="P65" s="43">
        <f t="shared" si="9"/>
        <v>0</v>
      </c>
      <c r="Q65" s="34"/>
      <c r="R65" s="76"/>
    </row>
    <row r="66" spans="1:17" ht="7.5" customHeight="1">
      <c r="A66" s="21"/>
      <c r="B66" s="21"/>
      <c r="C66" s="26"/>
      <c r="D66" s="28"/>
      <c r="E66" s="28"/>
      <c r="F66" s="28"/>
      <c r="G66" s="26"/>
      <c r="H66" s="26"/>
      <c r="I66" s="26"/>
      <c r="J66" s="52"/>
      <c r="K66" s="152"/>
      <c r="L66" s="171"/>
      <c r="M66" s="46"/>
      <c r="N66" s="152"/>
      <c r="O66" s="46"/>
      <c r="P66" s="46" t="s">
        <v>1</v>
      </c>
      <c r="Q66" s="6"/>
    </row>
    <row r="67" spans="1:17" ht="16.5">
      <c r="A67" s="28"/>
      <c r="B67" s="28"/>
      <c r="C67" s="28"/>
      <c r="D67" s="21"/>
      <c r="E67" s="32" t="s">
        <v>42</v>
      </c>
      <c r="F67" s="32"/>
      <c r="G67" s="39"/>
      <c r="H67" s="39"/>
      <c r="I67" s="39"/>
      <c r="J67" s="65">
        <f>ROUND(+J65+J51+J46+J41,0)</f>
        <v>0</v>
      </c>
      <c r="K67" s="157"/>
      <c r="L67" s="176"/>
      <c r="M67" s="65">
        <f>ROUND(+M65+M51+M46+M41,0)</f>
        <v>0</v>
      </c>
      <c r="N67" s="157"/>
      <c r="O67" s="65"/>
      <c r="P67" s="65">
        <f>SUM(J67:O67)</f>
        <v>0</v>
      </c>
      <c r="Q67" s="34"/>
    </row>
    <row r="68" spans="1:16" ht="7.5" customHeight="1">
      <c r="A68" s="28"/>
      <c r="B68" s="28"/>
      <c r="C68" s="28"/>
      <c r="D68" s="21"/>
      <c r="E68" s="32"/>
      <c r="F68" s="32"/>
      <c r="G68" s="39"/>
      <c r="H68" s="39"/>
      <c r="I68" s="39"/>
      <c r="J68" s="66"/>
      <c r="K68" s="157"/>
      <c r="L68" s="176"/>
      <c r="M68" s="65"/>
      <c r="N68" s="165"/>
      <c r="O68" s="190"/>
      <c r="P68" s="65"/>
    </row>
    <row r="69" spans="1:18" ht="15.75">
      <c r="A69" s="28"/>
      <c r="B69" s="28"/>
      <c r="C69" s="28"/>
      <c r="D69" s="21"/>
      <c r="G69" s="39"/>
      <c r="H69" s="92" t="s">
        <v>115</v>
      </c>
      <c r="I69" s="39"/>
      <c r="J69" s="74">
        <f>(IF((J61)&gt;25000,(25000),J61)+((IF((J62)&gt;25000,(25000),J62))+((IF((J63)&gt;25000,(25000),J63))+((IF((J64)&gt;25000,(25000),J64))+SUM(J67-J46-J58-J61-J62-J63-J64)))))</f>
        <v>0</v>
      </c>
      <c r="K69" s="158"/>
      <c r="L69" s="177"/>
      <c r="M69" s="74">
        <f>IF(J61&gt;=(25000),0,((IF((J61+M61)&lt;=(25000),M61,(25000-J61)))))+IF(J62&gt;=(25000),0,((IF((J62+M62)&lt;=(25000),M62,(25000-J62)))))+IF(J63&gt;=(25000),0,((IF((J63+M63)&lt;=(25000),M63,(25000-J63)))))+IF(J64&gt;=(25000),0,((IF((J64+M64)&lt;=(25000),M64,(25000-J64)))))+SUM(M67-M46-M58-M61-M62-M63-M64)</f>
        <v>0</v>
      </c>
      <c r="N69" s="158"/>
      <c r="O69" s="191"/>
      <c r="P69" s="74">
        <f>SUM(J69:O69)</f>
        <v>0</v>
      </c>
      <c r="R69" s="76"/>
    </row>
    <row r="70" spans="1:17" ht="15.75">
      <c r="A70" s="33" t="s">
        <v>114</v>
      </c>
      <c r="B70" s="1"/>
      <c r="C70" s="1"/>
      <c r="J70" s="42"/>
      <c r="K70" s="159"/>
      <c r="L70" s="178"/>
      <c r="M70" s="50"/>
      <c r="N70" s="159"/>
      <c r="O70" s="56"/>
      <c r="P70" s="50"/>
      <c r="Q70" s="5"/>
    </row>
    <row r="71" spans="1:17" ht="15.75">
      <c r="A71" s="13" t="s">
        <v>117</v>
      </c>
      <c r="B71" s="1"/>
      <c r="D71" s="7">
        <f>IF(AND(($E$82)="R",($E$84)="C"),('RATES-Non Fed'!E48),IF(AND(($E$82)="R",($E$84)="O"),('RATES-Non Fed'!E53),IF(AND(($E$82)="I",($E$84)="C"),('RATES-Non Fed'!E49),IF(AND(($E$82)="I",($E$84)="O"),('RATES-Non Fed'!E54),IF(AND(($E$82)="P",($E$84)="C"),('RATES-Non Fed'!E50),IF(AND(($E$82)="P",($E$84)="O"),('RATES-Non Fed'!E55),($E$83)))))))</f>
        <v>0.605</v>
      </c>
      <c r="E71" s="7">
        <f>IF(AND(($E$82)="R",($E$84)="C"),('RATES-Non Fed'!G48),IF(AND(($E$82)="R",($E$84)="O"),('RATES-Non Fed'!G53),IF(AND(($E$82)="I",($E$84)="C"),('RATES-Non Fed'!G49),IF(AND(($E$82)="I",($E$84)="O"),('RATES-Non Fed'!G54),IF(AND(($E$82)="P",($E$84)="C"),('RATES-Non Fed'!G50),IF(AND(($E$82)="P",($E$84)="O"),('RATES-Non Fed'!G55),($E$83)))))))</f>
        <v>0.62</v>
      </c>
      <c r="F71" s="7"/>
      <c r="G71" s="7"/>
      <c r="H71" s="7"/>
      <c r="J71" s="50">
        <f>ROUND(+D71*(J67-J46-J61-J62-J63-J64-J58),0)</f>
        <v>0</v>
      </c>
      <c r="K71" s="153"/>
      <c r="L71" s="172"/>
      <c r="M71" s="50">
        <f>ROUND(+E71*(M67-M46-M61-M62-M63-M64-M58),0)</f>
        <v>0</v>
      </c>
      <c r="N71" s="153"/>
      <c r="O71" s="50"/>
      <c r="P71" s="50">
        <f aca="true" t="shared" si="10" ref="P71:P76">SUM(J71:O71)</f>
        <v>0</v>
      </c>
      <c r="Q71" s="5"/>
    </row>
    <row r="72" spans="1:17" ht="15.75">
      <c r="A72" s="13" t="s">
        <v>43</v>
      </c>
      <c r="D72" s="7">
        <f aca="true" t="shared" si="11" ref="D72:E74">+D71</f>
        <v>0.605</v>
      </c>
      <c r="E72" s="7">
        <f t="shared" si="11"/>
        <v>0.62</v>
      </c>
      <c r="F72" s="7"/>
      <c r="G72" s="7"/>
      <c r="H72" s="7"/>
      <c r="J72" s="50">
        <f>(IF((J61)&gt;25000,(25000),J61)*D72)</f>
        <v>0</v>
      </c>
      <c r="K72" s="50"/>
      <c r="L72" s="50"/>
      <c r="M72" s="50">
        <f>IF(J61&gt;=(25000),0,((IF((J61+M61)&lt;=(25000),M61,(25000-J61))))*E72)</f>
        <v>0</v>
      </c>
      <c r="N72" s="153"/>
      <c r="O72" s="50"/>
      <c r="P72" s="50">
        <f t="shared" si="10"/>
        <v>0</v>
      </c>
      <c r="Q72" s="5"/>
    </row>
    <row r="73" spans="1:17" ht="15.75">
      <c r="A73" s="13" t="s">
        <v>44</v>
      </c>
      <c r="D73" s="7">
        <f t="shared" si="11"/>
        <v>0.605</v>
      </c>
      <c r="E73" s="7">
        <f t="shared" si="11"/>
        <v>0.62</v>
      </c>
      <c r="F73" s="7"/>
      <c r="G73" s="7"/>
      <c r="H73" s="7"/>
      <c r="J73" s="50">
        <f>(IF((J62)&gt;25000,(25000),J62)*D73)</f>
        <v>0</v>
      </c>
      <c r="K73" s="261"/>
      <c r="L73" s="172"/>
      <c r="M73" s="50">
        <f>IF(J62&gt;=(25000),0,((IF((J62+M62)&lt;=(25000),M62,(25000-J62))))*E73)</f>
        <v>0</v>
      </c>
      <c r="N73" s="153"/>
      <c r="O73" s="50"/>
      <c r="P73" s="50">
        <f t="shared" si="10"/>
        <v>0</v>
      </c>
      <c r="Q73" s="5"/>
    </row>
    <row r="74" spans="1:17" ht="15.75">
      <c r="A74" s="13" t="s">
        <v>91</v>
      </c>
      <c r="D74" s="7">
        <f t="shared" si="11"/>
        <v>0.605</v>
      </c>
      <c r="E74" s="7">
        <f t="shared" si="11"/>
        <v>0.62</v>
      </c>
      <c r="F74" s="7"/>
      <c r="G74" s="7"/>
      <c r="H74" s="7"/>
      <c r="J74" s="50">
        <f>(IF((J63)&gt;25000,(25000),J63)*D74)</f>
        <v>0</v>
      </c>
      <c r="K74" s="261"/>
      <c r="L74" s="172"/>
      <c r="M74" s="50">
        <f>IF(J63&gt;=(25000),0,((IF((J63+M63)&lt;=(25000),M63,(25000-J63))))*E74)</f>
        <v>0</v>
      </c>
      <c r="N74" s="153"/>
      <c r="O74" s="50"/>
      <c r="P74" s="50">
        <f t="shared" si="10"/>
        <v>0</v>
      </c>
      <c r="Q74" s="5"/>
    </row>
    <row r="75" spans="1:17" ht="15.75">
      <c r="A75" s="13" t="s">
        <v>92</v>
      </c>
      <c r="B75" s="1"/>
      <c r="C75" s="1"/>
      <c r="D75" s="7">
        <f>+D72</f>
        <v>0.605</v>
      </c>
      <c r="E75" s="7">
        <f>+E72</f>
        <v>0.62</v>
      </c>
      <c r="F75" s="7"/>
      <c r="G75" s="7"/>
      <c r="H75" s="7"/>
      <c r="J75" s="50">
        <f>(IF((J64)&gt;25000,(25000),J64)*D75)</f>
        <v>0</v>
      </c>
      <c r="K75" s="261"/>
      <c r="L75" s="172"/>
      <c r="M75" s="50">
        <f>IF(J64&gt;=(25000),0,((IF((J64+M64)&lt;=(25000),M64,(25000-J64))))*E75)</f>
        <v>0</v>
      </c>
      <c r="N75" s="153"/>
      <c r="O75" s="50"/>
      <c r="P75" s="50">
        <f t="shared" si="10"/>
        <v>0</v>
      </c>
      <c r="Q75" s="5"/>
    </row>
    <row r="76" spans="1:17" ht="15.75">
      <c r="A76" s="40" t="s">
        <v>116</v>
      </c>
      <c r="B76" s="1"/>
      <c r="C76" s="24"/>
      <c r="D76" s="35"/>
      <c r="E76" s="7"/>
      <c r="F76" s="7"/>
      <c r="G76" s="7"/>
      <c r="H76" s="7"/>
      <c r="I76" s="7"/>
      <c r="J76" s="53">
        <f>SUM(J71:J75)</f>
        <v>0</v>
      </c>
      <c r="K76" s="156"/>
      <c r="L76" s="175"/>
      <c r="M76" s="53">
        <f>SUM(M71:M75)</f>
        <v>0</v>
      </c>
      <c r="N76" s="156"/>
      <c r="O76" s="44"/>
      <c r="P76" s="53">
        <f t="shared" si="10"/>
        <v>0</v>
      </c>
      <c r="Q76" s="5"/>
    </row>
    <row r="77" spans="1:17" ht="6.75" customHeight="1">
      <c r="A77" s="40"/>
      <c r="B77" s="1"/>
      <c r="C77" s="24"/>
      <c r="D77" s="35"/>
      <c r="E77" s="7"/>
      <c r="F77" s="7"/>
      <c r="G77" s="7"/>
      <c r="H77" s="7"/>
      <c r="I77" s="7"/>
      <c r="J77" s="61"/>
      <c r="K77" s="156"/>
      <c r="L77" s="175"/>
      <c r="M77" s="62"/>
      <c r="N77" s="156"/>
      <c r="O77" s="44"/>
      <c r="P77" s="62"/>
      <c r="Q77" s="5"/>
    </row>
    <row r="78" spans="1:17" ht="19.5" thickBot="1">
      <c r="A78" s="40"/>
      <c r="B78" s="1"/>
      <c r="C78" s="60" t="s">
        <v>45</v>
      </c>
      <c r="D78" s="35"/>
      <c r="E78" s="7"/>
      <c r="F78" s="7"/>
      <c r="G78" s="7"/>
      <c r="H78" s="7"/>
      <c r="I78" s="7"/>
      <c r="J78" s="72">
        <f>J76+J67</f>
        <v>0</v>
      </c>
      <c r="K78" s="157"/>
      <c r="L78" s="176"/>
      <c r="M78" s="72">
        <f>M76+M67</f>
        <v>0</v>
      </c>
      <c r="N78" s="157"/>
      <c r="O78" s="65"/>
      <c r="P78" s="72">
        <f>SUM(J78:O78)</f>
        <v>0</v>
      </c>
      <c r="Q78" s="5"/>
    </row>
    <row r="79" spans="1:17" ht="8.25" customHeight="1" thickTop="1">
      <c r="A79" s="28"/>
      <c r="B79" s="1"/>
      <c r="C79" s="35"/>
      <c r="D79" s="7"/>
      <c r="E79" s="7"/>
      <c r="F79" s="7"/>
      <c r="G79" s="7"/>
      <c r="H79" s="7"/>
      <c r="I79" s="7"/>
      <c r="J79" s="50"/>
      <c r="K79" s="153"/>
      <c r="L79" s="172"/>
      <c r="M79" s="50"/>
      <c r="N79" s="153"/>
      <c r="O79" s="50"/>
      <c r="P79" s="50" t="s">
        <v>1</v>
      </c>
      <c r="Q79" s="5"/>
    </row>
    <row r="80" spans="1:17" ht="9" customHeight="1">
      <c r="A80" s="1"/>
      <c r="B80" s="1"/>
      <c r="C80" s="1"/>
      <c r="D80" s="1"/>
      <c r="E80" s="1"/>
      <c r="F80" s="1"/>
      <c r="G80" s="1"/>
      <c r="H80" s="1"/>
      <c r="I80" s="1"/>
      <c r="J80" s="49"/>
      <c r="K80" s="160"/>
      <c r="L80" s="179"/>
      <c r="M80" s="58"/>
      <c r="N80" s="160"/>
      <c r="O80" s="57"/>
      <c r="P80" s="58"/>
      <c r="Q80" s="1"/>
    </row>
    <row r="81" ht="15.75">
      <c r="C81" s="36" t="s">
        <v>118</v>
      </c>
    </row>
    <row r="82" spans="3:7" ht="15.75">
      <c r="C82" s="14" t="s">
        <v>46</v>
      </c>
      <c r="E82" s="15" t="s">
        <v>47</v>
      </c>
      <c r="G82" s="14" t="s">
        <v>48</v>
      </c>
    </row>
    <row r="83" spans="3:6" ht="15.75">
      <c r="C83" s="14" t="s">
        <v>175</v>
      </c>
      <c r="E83" s="9">
        <v>0</v>
      </c>
      <c r="F83" s="9"/>
    </row>
    <row r="84" spans="3:7" ht="15.75">
      <c r="C84" s="14" t="s">
        <v>49</v>
      </c>
      <c r="E84" s="15" t="s">
        <v>50</v>
      </c>
      <c r="G84" s="14" t="s">
        <v>51</v>
      </c>
    </row>
    <row r="87" spans="4:13" ht="15.75">
      <c r="D87" s="214" t="s">
        <v>197</v>
      </c>
      <c r="H87" s="212">
        <f>+'RATES-Non Fed'!E31</f>
        <v>0.605</v>
      </c>
      <c r="J87" s="211">
        <f>J76/12*'RATES-Non Fed'!$C$48</f>
        <v>0</v>
      </c>
      <c r="L87" s="212">
        <f>+'RATES-Non Fed'!G31</f>
        <v>0.62</v>
      </c>
      <c r="M87" s="211">
        <f>M76/12*'RATES-Non Fed'!$C$48</f>
        <v>0</v>
      </c>
    </row>
    <row r="88" spans="4:16" ht="18.75">
      <c r="D88" s="314" t="s">
        <v>198</v>
      </c>
      <c r="E88" s="314"/>
      <c r="F88" s="314"/>
      <c r="G88" s="314"/>
      <c r="H88" s="212">
        <f>+'RATES-Non Fed'!G31</f>
        <v>0.62</v>
      </c>
      <c r="J88" s="211">
        <f>J76/12*'RATES-Non Fed'!$D$48</f>
        <v>0</v>
      </c>
      <c r="L88" s="212">
        <f>+'RATES-Non Fed'!I31</f>
        <v>0.62</v>
      </c>
      <c r="M88" s="211">
        <f>M76/12*'RATES-Non Fed'!$D$48</f>
        <v>0</v>
      </c>
      <c r="N88" s="325">
        <f>'RATES-Non Fed'!Q69</f>
        <v>0</v>
      </c>
      <c r="O88" s="325"/>
      <c r="P88" s="325"/>
    </row>
    <row r="89" spans="4:13" ht="15.75">
      <c r="D89" s="314"/>
      <c r="E89" s="314"/>
      <c r="F89" s="314"/>
      <c r="G89" s="314"/>
      <c r="J89" s="211">
        <f>SUM(J87:J88)</f>
        <v>0</v>
      </c>
      <c r="M89" s="211">
        <f>SUM(M87:M88)</f>
        <v>0</v>
      </c>
    </row>
  </sheetData>
  <sheetProtection/>
  <mergeCells count="5">
    <mergeCell ref="K4:O5"/>
    <mergeCell ref="J8:L8"/>
    <mergeCell ref="M8:O8"/>
    <mergeCell ref="N88:P88"/>
    <mergeCell ref="D88:G89"/>
  </mergeCells>
  <dataValidations count="1">
    <dataValidation type="list" allowBlank="1" showInputMessage="1" showErrorMessage="1" sqref="D11 D17:D18 D13 D15 D21:D24">
      <formula1>APPTS</formula1>
    </dataValidation>
  </dataValidations>
  <hyperlinks>
    <hyperlink ref="C58" r:id="rId1" display="UC Tuition rates (Not Subject to Indirect)"/>
  </hyperlinks>
  <printOptions horizontalCentered="1"/>
  <pageMargins left="0.5" right="0.3" top="0.5" bottom="0.5" header="0.5" footer="0.5"/>
  <pageSetup fitToHeight="1" fitToWidth="1" horizontalDpi="300" verticalDpi="300" orientation="portrait" scale="53" r:id="rId4"/>
  <legacyDrawing r:id="rId3"/>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V87"/>
  <sheetViews>
    <sheetView showGridLines="0" zoomScale="75" zoomScaleNormal="75" workbookViewId="0" topLeftCell="A13">
      <selection activeCell="Q22" sqref="Q22"/>
    </sheetView>
  </sheetViews>
  <sheetFormatPr defaultColWidth="9.625" defaultRowHeight="15.75"/>
  <cols>
    <col min="1" max="2" width="2.625" style="0" customWidth="1"/>
    <col min="3" max="3" width="20.50390625" style="0" customWidth="1"/>
    <col min="4" max="4" width="16.125" style="0" customWidth="1"/>
    <col min="5" max="5" width="9.00390625" style="0"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8.125" style="161" bestFit="1" customWidth="1"/>
    <col min="12" max="12" width="10.125" style="180" bestFit="1" customWidth="1"/>
    <col min="13" max="13" width="11.25390625" style="0" customWidth="1"/>
    <col min="14" max="14" width="9.25390625" style="161" bestFit="1" customWidth="1"/>
    <col min="15" max="15" width="9.50390625" style="90" bestFit="1" customWidth="1"/>
    <col min="16" max="16" width="11.25390625" style="0" customWidth="1"/>
    <col min="17" max="17" width="9.25390625" style="161" bestFit="1" customWidth="1"/>
    <col min="18" max="18" width="8.75390625" style="90" bestFit="1" customWidth="1"/>
    <col min="19" max="19" width="14.625" style="0" customWidth="1"/>
    <col min="20" max="20" width="2.625" style="0" customWidth="1"/>
  </cols>
  <sheetData>
    <row r="1" spans="1:18" ht="18.75">
      <c r="A1" s="17" t="s">
        <v>0</v>
      </c>
      <c r="B1" s="18"/>
      <c r="C1" s="18"/>
      <c r="D1" s="18"/>
      <c r="E1" s="18"/>
      <c r="F1" s="18"/>
      <c r="G1" s="18"/>
      <c r="H1" s="18"/>
      <c r="I1" s="18"/>
      <c r="J1" s="19"/>
      <c r="K1" s="147"/>
      <c r="L1" s="168"/>
      <c r="M1" s="37"/>
      <c r="N1" s="162"/>
      <c r="O1" s="189"/>
      <c r="P1" s="37"/>
      <c r="Q1" s="162"/>
      <c r="R1" s="189"/>
    </row>
    <row r="2" spans="1:19" ht="18.75">
      <c r="A2" s="17" t="s">
        <v>185</v>
      </c>
      <c r="B2" s="18"/>
      <c r="C2" s="18"/>
      <c r="D2" s="18"/>
      <c r="E2" s="18"/>
      <c r="F2" s="18"/>
      <c r="G2" s="18"/>
      <c r="H2" s="18"/>
      <c r="I2" s="18"/>
      <c r="J2" s="19"/>
      <c r="K2" s="147"/>
      <c r="L2" s="168"/>
      <c r="M2" s="37"/>
      <c r="N2" s="162"/>
      <c r="O2" s="189"/>
      <c r="P2" s="37"/>
      <c r="Q2" s="162"/>
      <c r="R2" s="189"/>
      <c r="S2" s="37"/>
    </row>
    <row r="3" spans="1:19" ht="9.75" customHeight="1">
      <c r="A3" s="10" t="s">
        <v>1</v>
      </c>
      <c r="B3" s="1"/>
      <c r="J3" s="11" t="s">
        <v>1</v>
      </c>
      <c r="K3" s="148"/>
      <c r="L3" s="169"/>
      <c r="M3" s="8"/>
      <c r="P3" s="8"/>
      <c r="S3" s="8"/>
    </row>
    <row r="4" spans="1:19" ht="15.75">
      <c r="A4" s="22" t="s">
        <v>2</v>
      </c>
      <c r="B4" s="1"/>
      <c r="D4" s="10" t="s">
        <v>69</v>
      </c>
      <c r="G4" s="3"/>
      <c r="J4" s="20" t="s">
        <v>3</v>
      </c>
      <c r="K4" s="315" t="s">
        <v>69</v>
      </c>
      <c r="L4" s="316"/>
      <c r="M4" s="317"/>
      <c r="N4" s="317"/>
      <c r="O4" s="317"/>
      <c r="P4" s="317"/>
      <c r="Q4" s="317"/>
      <c r="R4" s="318"/>
      <c r="S4" s="8"/>
    </row>
    <row r="5" spans="1:19" ht="18.75">
      <c r="A5" s="22" t="s">
        <v>4</v>
      </c>
      <c r="B5" s="1"/>
      <c r="D5" s="10" t="s">
        <v>69</v>
      </c>
      <c r="E5" s="3"/>
      <c r="F5" s="3"/>
      <c r="H5" s="2"/>
      <c r="I5" s="2"/>
      <c r="J5" s="38"/>
      <c r="K5" s="319"/>
      <c r="L5" s="320"/>
      <c r="M5" s="320"/>
      <c r="N5" s="320"/>
      <c r="O5" s="320"/>
      <c r="P5" s="320"/>
      <c r="Q5" s="320"/>
      <c r="R5" s="321"/>
      <c r="S5" s="8"/>
    </row>
    <row r="6" spans="1:19" ht="15.75">
      <c r="A6" s="14"/>
      <c r="B6" s="22" t="s">
        <v>5</v>
      </c>
      <c r="D6" s="73">
        <f>'RATES-Non Fed'!E2</f>
        <v>44013</v>
      </c>
      <c r="E6" s="12" t="s">
        <v>6</v>
      </c>
      <c r="F6" s="12"/>
      <c r="G6" s="73">
        <f>'RATES-Non Fed'!G2</f>
        <v>46203</v>
      </c>
      <c r="H6" s="4"/>
      <c r="I6" s="4"/>
      <c r="J6" s="2"/>
      <c r="K6" s="149"/>
      <c r="L6" s="170"/>
      <c r="M6" s="3"/>
      <c r="N6" s="149"/>
      <c r="O6" s="144"/>
      <c r="P6" s="3"/>
      <c r="Q6" s="149"/>
      <c r="R6" s="144"/>
      <c r="S6" s="8"/>
    </row>
    <row r="7" spans="5:20" ht="7.5" customHeight="1">
      <c r="E7" s="3"/>
      <c r="F7" s="3"/>
      <c r="G7" s="1"/>
      <c r="H7" s="1"/>
      <c r="I7" s="1"/>
      <c r="J7" s="16" t="s">
        <v>1</v>
      </c>
      <c r="K7" s="148"/>
      <c r="L7" s="169"/>
      <c r="M7" s="8"/>
      <c r="N7" s="148"/>
      <c r="O7" s="138"/>
      <c r="P7" s="8"/>
      <c r="Q7" s="148"/>
      <c r="R7" s="138"/>
      <c r="S7" s="8"/>
      <c r="T7" s="1"/>
    </row>
    <row r="8" spans="1:20" ht="15.75">
      <c r="A8" s="21"/>
      <c r="B8" s="21"/>
      <c r="C8" s="21"/>
      <c r="D8" s="21"/>
      <c r="E8" s="21"/>
      <c r="F8" s="21"/>
      <c r="G8" s="21"/>
      <c r="H8" s="21"/>
      <c r="I8" s="21"/>
      <c r="J8" s="304" t="s">
        <v>21</v>
      </c>
      <c r="K8" s="305"/>
      <c r="L8" s="306"/>
      <c r="M8" s="322" t="s">
        <v>53</v>
      </c>
      <c r="N8" s="323"/>
      <c r="O8" s="324"/>
      <c r="P8" s="322" t="s">
        <v>55</v>
      </c>
      <c r="Q8" s="323"/>
      <c r="R8" s="324"/>
      <c r="S8" s="166" t="s">
        <v>8</v>
      </c>
      <c r="T8" s="21"/>
    </row>
    <row r="9" spans="1:20" s="142" customFormat="1" ht="15.75">
      <c r="A9" s="140" t="s">
        <v>9</v>
      </c>
      <c r="B9" s="140" t="s">
        <v>10</v>
      </c>
      <c r="C9" s="140"/>
      <c r="D9" s="140"/>
      <c r="E9" s="140"/>
      <c r="F9" s="140"/>
      <c r="G9" s="140"/>
      <c r="H9" s="140"/>
      <c r="I9" s="140"/>
      <c r="J9" s="184" t="s">
        <v>180</v>
      </c>
      <c r="K9" s="150" t="s">
        <v>181</v>
      </c>
      <c r="L9" s="140" t="s">
        <v>182</v>
      </c>
      <c r="M9" s="188" t="s">
        <v>180</v>
      </c>
      <c r="N9" s="150" t="s">
        <v>181</v>
      </c>
      <c r="O9" s="140" t="s">
        <v>182</v>
      </c>
      <c r="P9" s="188" t="s">
        <v>180</v>
      </c>
      <c r="Q9" s="150" t="s">
        <v>181</v>
      </c>
      <c r="R9" s="140" t="s">
        <v>182</v>
      </c>
      <c r="S9" s="141"/>
      <c r="T9" s="140"/>
    </row>
    <row r="10" spans="1:20" ht="15.75">
      <c r="A10" s="1"/>
      <c r="B10" s="23" t="s">
        <v>11</v>
      </c>
      <c r="C10" s="24"/>
      <c r="D10" s="24" t="s">
        <v>99</v>
      </c>
      <c r="E10" s="1" t="s">
        <v>12</v>
      </c>
      <c r="F10" s="41" t="s">
        <v>121</v>
      </c>
      <c r="G10" s="41" t="s">
        <v>13</v>
      </c>
      <c r="H10" s="1"/>
      <c r="I10" s="1"/>
      <c r="J10" s="185"/>
      <c r="K10" s="148"/>
      <c r="L10" s="138"/>
      <c r="M10" s="185"/>
      <c r="N10" s="148"/>
      <c r="O10" s="138"/>
      <c r="P10" s="185"/>
      <c r="Q10" s="148"/>
      <c r="R10" s="138"/>
      <c r="S10" s="2">
        <f>IF(SUM(J10:N10)=0,"",SUM(J10:N10))</f>
      </c>
      <c r="T10" s="1"/>
    </row>
    <row r="11" spans="1:20" ht="15.75">
      <c r="A11" s="1"/>
      <c r="B11" s="1" t="s">
        <v>14</v>
      </c>
      <c r="C11" s="10"/>
      <c r="D11" s="135" t="s">
        <v>123</v>
      </c>
      <c r="E11" s="70">
        <v>0</v>
      </c>
      <c r="F11" s="94">
        <f aca="true" t="shared" si="0" ref="F11:F18">IF(D11="CAL",(52*E11/4.3333),(IF(D11="ACAD",(36.35*E11/4.33333),IF(D11="SUMR",(15.65*E11/4.33333),IF(D11="PT",(0),0)))))</f>
        <v>0</v>
      </c>
      <c r="G11" s="69">
        <v>0</v>
      </c>
      <c r="J11" s="182">
        <f>IF($D11="CAL",ROUND(($G11*(1+'Salary Inflation'!$B$35))*$E11,0),IF($D11="ACAD",($G11/0.9965)*(1+'Salary Inflation'!$O$46)*$E11,IF($D11="SUMR",($G11)*(1+'Salary Inflation'!$O$47)*$E11,"NA")))</f>
        <v>0</v>
      </c>
      <c r="K11" s="151">
        <f>IF(D11="CAL",ROUND(J11*'RATES-Non Fed'!$E$38,0),IF(D11="ACAD",J11*'RATES-Non Fed'!$E$44,J11*'RATES-Non Fed'!$E$45))</f>
        <v>0</v>
      </c>
      <c r="L11" s="67">
        <f>ROUND(K11+J11,0)</f>
        <v>0</v>
      </c>
      <c r="M11" s="182">
        <f>IF($D11="CAL",ROUND((J11*(1+'Salary Inflation'!$C$35)),0),IF($D11="ACAD",(J11)*(1+'Salary Inflation'!$C$36),IF($D11="SUMR",(J11)*(1+'Salary Inflation'!$C$37),"NA")))</f>
        <v>0</v>
      </c>
      <c r="N11" s="151">
        <f>IF($D11="CAL",ROUND(M11*'RATES-Non Fed'!$G$38,0),IF($D11="ACAD",M11*'RATES-Non Fed'!$G$44,M11*'RATES-Non Fed'!$G$45))</f>
        <v>0</v>
      </c>
      <c r="O11" s="67">
        <f aca="true" t="shared" si="1" ref="O11:O18">ROUND(M11+N11,0)</f>
        <v>0</v>
      </c>
      <c r="P11" s="182">
        <f>IF($D11="CAL",ROUND((M11*(1+'Salary Inflation'!$D$35)),0),IF($D11="ACAD",(M11)*(1+'Salary Inflation'!$D$36),IF($D11="SUMR",(M11)*(1+'Salary Inflation'!$D$37),"NA")))</f>
        <v>0</v>
      </c>
      <c r="Q11" s="151">
        <f>IF($D11="CAL",ROUND(P11*'RATES-Non Fed'!$I$38,0),IF($D11="ACAD",P11*'RATES-Non Fed'!$I$44,P11*'RATES-Non Fed'!$I$45))</f>
        <v>0</v>
      </c>
      <c r="R11" s="67">
        <f>SUM(P11:Q11)</f>
        <v>0</v>
      </c>
      <c r="S11" s="42">
        <f>SUM(L11+O11+R11)</f>
        <v>0</v>
      </c>
      <c r="T11" s="1"/>
    </row>
    <row r="12" spans="1:20" ht="15.75">
      <c r="A12" s="1"/>
      <c r="B12" s="1" t="s">
        <v>14</v>
      </c>
      <c r="C12" s="3"/>
      <c r="D12" s="135" t="s">
        <v>257</v>
      </c>
      <c r="E12" s="70">
        <v>0</v>
      </c>
      <c r="F12" s="94">
        <f t="shared" si="0"/>
        <v>0</v>
      </c>
      <c r="G12" s="69">
        <f>IF(D11="ACAD",+G11*0.428,0)</f>
        <v>0</v>
      </c>
      <c r="J12" s="182">
        <f>IF($D12="CAL",ROUND(($G12*(1+'Salary Inflation'!$B$35))*$E12,0),IF($D12="ACAD",($G12/0.9965)*(1+'Salary Inflation'!$O$46)*$E12,IF($D12="SUMR",($G12)*(1+'Salary Inflation'!$O$47)*$E12,"NA")))</f>
        <v>0</v>
      </c>
      <c r="K12" s="151">
        <f>IF(D12="CAL",ROUND(J12*'RATES-Non Fed'!$E$38,0),IF(D12="ACAD",J12*'RATES-Non Fed'!$E$44,J12*'RATES-Non Fed'!$E$45))</f>
        <v>0</v>
      </c>
      <c r="L12" s="67">
        <f aca="true" t="shared" si="2" ref="L12:L18">ROUND(K12+J12,0)</f>
        <v>0</v>
      </c>
      <c r="M12" s="182">
        <f>IF($D12="CAL",ROUND((J12*(1+'Salary Inflation'!$C$35)),0),IF($D12="ACAD",(J12)*(1+'Salary Inflation'!$C$36),IF($D12="SUMR",(J12)*(1+'Salary Inflation'!$C$37),"NA")))</f>
        <v>0</v>
      </c>
      <c r="N12" s="151">
        <f>IF($D12="CAL",ROUND(M12*'RATES-Non Fed'!$G$38,0),IF($D12="ACAD",M12*'RATES-Non Fed'!$G$44,M12*'RATES-Non Fed'!$G$45))</f>
        <v>0</v>
      </c>
      <c r="O12" s="67">
        <f t="shared" si="1"/>
        <v>0</v>
      </c>
      <c r="P12" s="182">
        <f>IF($D12="CAL",ROUND((M12*(1+'Salary Inflation'!$D$35)),0),IF($D12="ACAD",(M12)*(1+'Salary Inflation'!$D$36),IF($D12="SUMR",(M12)*(1+'Salary Inflation'!$D$37),"NA")))</f>
        <v>0</v>
      </c>
      <c r="Q12" s="151">
        <f>IF($D12="CAL",ROUND(P12*'RATES-Non Fed'!$I$38,0),IF($D12="ACAD",P12*'RATES-Non Fed'!$I$44,P12*'RATES-Non Fed'!$I$45))</f>
        <v>0</v>
      </c>
      <c r="R12" s="67">
        <f aca="true" t="shared" si="3" ref="R12:R18">SUM(P12:Q12)</f>
        <v>0</v>
      </c>
      <c r="S12" s="42">
        <f aca="true" t="shared" si="4" ref="S12:S18">SUM(L12+O12+R12)</f>
        <v>0</v>
      </c>
      <c r="T12" s="1"/>
    </row>
    <row r="13" spans="1:20" ht="15.75">
      <c r="A13" s="1"/>
      <c r="B13" s="1" t="s">
        <v>15</v>
      </c>
      <c r="C13" s="3"/>
      <c r="D13" s="135" t="s">
        <v>123</v>
      </c>
      <c r="E13" s="70">
        <v>0</v>
      </c>
      <c r="F13" s="94">
        <f t="shared" si="0"/>
        <v>0</v>
      </c>
      <c r="G13" s="69">
        <v>0</v>
      </c>
      <c r="J13" s="182">
        <f>IF($D13="CAL",ROUND(($G13*(1+'Salary Inflation'!$B$35))*$E13,0),IF($D13="ACAD",($G13/0.9965)*(1+'Salary Inflation'!$O$46)*$E13,IF($D13="SUMR",($G13)*(1+'Salary Inflation'!$O$47)*$E13,"NA")))</f>
        <v>0</v>
      </c>
      <c r="K13" s="151">
        <f>IF(D13="CAL",ROUND(J13*'RATES-Non Fed'!$E$38,0),IF(D13="ACAD",J13*'RATES-Non Fed'!$E$44,J13*'RATES-Non Fed'!$E$45))</f>
        <v>0</v>
      </c>
      <c r="L13" s="67">
        <f t="shared" si="2"/>
        <v>0</v>
      </c>
      <c r="M13" s="182">
        <f>IF($D13="CAL",ROUND((J13*(1+'Salary Inflation'!$C$35)),0),IF($D13="ACAD",(J13)*(1+'Salary Inflation'!$C$36),IF($D13="SUMR",(J13)*(1+'Salary Inflation'!$C$37),"NA")))</f>
        <v>0</v>
      </c>
      <c r="N13" s="151">
        <f>IF($D13="CAL",ROUND(M13*'RATES-Non Fed'!$G$38,0),IF($D13="ACAD",M13*'RATES-Non Fed'!$G$44,M13*'RATES-Non Fed'!$G$45))</f>
        <v>0</v>
      </c>
      <c r="O13" s="67">
        <f t="shared" si="1"/>
        <v>0</v>
      </c>
      <c r="P13" s="182">
        <f>IF($D13="CAL",ROUND((M13*(1+'Salary Inflation'!$D$35)),0),IF($D13="ACAD",(M13)*(1+'Salary Inflation'!$D$36),IF($D13="SUMR",(M13)*(1+'Salary Inflation'!$D$37),"NA")))</f>
        <v>0</v>
      </c>
      <c r="Q13" s="151">
        <f>IF($D13="CAL",ROUND(P13*'RATES-Non Fed'!$I$38,0),IF($D13="ACAD",P13*'RATES-Non Fed'!$I$44,P13*'RATES-Non Fed'!$I$45))</f>
        <v>0</v>
      </c>
      <c r="R13" s="67">
        <f t="shared" si="3"/>
        <v>0</v>
      </c>
      <c r="S13" s="42">
        <f t="shared" si="4"/>
        <v>0</v>
      </c>
      <c r="T13" s="1"/>
    </row>
    <row r="14" spans="1:19" ht="15.75">
      <c r="A14" s="1"/>
      <c r="B14" s="1"/>
      <c r="C14" s="3"/>
      <c r="D14" s="135" t="str">
        <f>IF(D13="ACAD",("SUMR"),"")</f>
        <v>SUMR</v>
      </c>
      <c r="E14" s="70">
        <v>0</v>
      </c>
      <c r="F14" s="94">
        <f t="shared" si="0"/>
        <v>0</v>
      </c>
      <c r="G14" s="69">
        <f>IF(D13="ACAD",+G13*0.428,0)</f>
        <v>0</v>
      </c>
      <c r="J14" s="182">
        <f>IF($D14="CAL",ROUND(($G14*(1+'Salary Inflation'!$B$35))*$E14,0),IF($D14="ACAD",($G14/0.9965)*(1+'Salary Inflation'!$O$46)*$E14,IF($D14="SUMR",($G14)*(1+'Salary Inflation'!$O$47)*$E14,"NA")))</f>
        <v>0</v>
      </c>
      <c r="K14" s="151">
        <f>IF(D14="CAL",ROUND(J14*'RATES-Non Fed'!$E$38,0),IF(D14="ACAD",J14*'RATES-Non Fed'!$E$44,J14*'RATES-Non Fed'!$E$45))</f>
        <v>0</v>
      </c>
      <c r="L14" s="67">
        <f t="shared" si="2"/>
        <v>0</v>
      </c>
      <c r="M14" s="182">
        <f>IF($D14="CAL",ROUND((J14*(1+'Salary Inflation'!$C$35)),0),IF($D14="ACAD",(J14)*(1+'Salary Inflation'!$C$36),IF($D14="SUMR",(J14)*(1+'Salary Inflation'!$C$37),"NA")))</f>
        <v>0</v>
      </c>
      <c r="N14" s="151">
        <f>IF($D14="CAL",ROUND(M14*'RATES-Non Fed'!$G$38,0),IF($D14="ACAD",M14*'RATES-Non Fed'!$G$44,M14*'RATES-Non Fed'!$G$45))</f>
        <v>0</v>
      </c>
      <c r="O14" s="67">
        <f t="shared" si="1"/>
        <v>0</v>
      </c>
      <c r="P14" s="182">
        <f>IF($D14="CAL",ROUND((M14*(1+'Salary Inflation'!$D$35)),0),IF($D14="ACAD",(M14)*(1+'Salary Inflation'!$D$36),IF($D14="SUMR",(M14)*(1+'Salary Inflation'!$D$37),"NA")))</f>
        <v>0</v>
      </c>
      <c r="Q14" s="151">
        <f>IF($D14="CAL",ROUND(P14*'RATES-Non Fed'!$I$38,0),IF($D14="ACAD",P14*'RATES-Non Fed'!$I$44,P14*'RATES-Non Fed'!$I$45))</f>
        <v>0</v>
      </c>
      <c r="R14" s="67">
        <f t="shared" si="3"/>
        <v>0</v>
      </c>
      <c r="S14" s="42">
        <f t="shared" si="4"/>
        <v>0</v>
      </c>
    </row>
    <row r="15" spans="1:20" ht="15.75">
      <c r="A15" s="1"/>
      <c r="B15" s="1" t="s">
        <v>15</v>
      </c>
      <c r="C15" s="3"/>
      <c r="D15" s="135" t="s">
        <v>123</v>
      </c>
      <c r="E15" s="70">
        <v>0</v>
      </c>
      <c r="F15" s="94">
        <f t="shared" si="0"/>
        <v>0</v>
      </c>
      <c r="G15" s="69">
        <v>0</v>
      </c>
      <c r="J15" s="182">
        <f>IF($D15="CAL",ROUND(($G15*(1+'Salary Inflation'!$B$35))*$E15,0),IF($D15="ACAD",($G15/0.9965)*(1+'Salary Inflation'!$O$46)*$E15,IF($D15="SUMR",($G15)*(1+'Salary Inflation'!$O$47)*$E15,"NA")))</f>
        <v>0</v>
      </c>
      <c r="K15" s="151">
        <f>IF(D15="CAL",ROUND(J15*'RATES-Non Fed'!$E$38,0),IF(D15="ACAD",J15*'RATES-Non Fed'!$E$44,J15*'RATES-Non Fed'!$E$45))</f>
        <v>0</v>
      </c>
      <c r="L15" s="67">
        <f t="shared" si="2"/>
        <v>0</v>
      </c>
      <c r="M15" s="182">
        <f>IF($D15="CAL",ROUND((J15*(1+'Salary Inflation'!$C$35)),0),IF($D15="ACAD",(J15)*(1+'Salary Inflation'!$C$36),IF($D15="SUMR",(J15)*(1+'Salary Inflation'!$C$37),"NA")))</f>
        <v>0</v>
      </c>
      <c r="N15" s="151">
        <f>IF($D15="CAL",ROUND(M15*'RATES-Non Fed'!$G$38,0),IF($D15="ACAD",M15*'RATES-Non Fed'!$G$44,M15*'RATES-Non Fed'!$G$45))</f>
        <v>0</v>
      </c>
      <c r="O15" s="67">
        <f t="shared" si="1"/>
        <v>0</v>
      </c>
      <c r="P15" s="182">
        <f>IF($D15="CAL",ROUND((M15*(1+'Salary Inflation'!$D$35)),0),IF($D15="ACAD",(M15)*(1+'Salary Inflation'!$D$36),IF($D15="SUMR",(M15)*(1+'Salary Inflation'!$D$37),"NA")))</f>
        <v>0</v>
      </c>
      <c r="Q15" s="151">
        <f>IF($D15="CAL",ROUND(P15*'RATES-Non Fed'!$I$38,0),IF($D15="ACAD",P15*'RATES-Non Fed'!$I$44,P15*'RATES-Non Fed'!$I$45))</f>
        <v>0</v>
      </c>
      <c r="R15" s="67">
        <f t="shared" si="3"/>
        <v>0</v>
      </c>
      <c r="S15" s="42">
        <f t="shared" si="4"/>
        <v>0</v>
      </c>
      <c r="T15" s="1"/>
    </row>
    <row r="16" spans="1:19" ht="15.75">
      <c r="A16" s="1"/>
      <c r="B16" s="1"/>
      <c r="C16" s="3"/>
      <c r="D16" s="135" t="str">
        <f>IF(D15="ACAD",("SUMR"),"")</f>
        <v>SUMR</v>
      </c>
      <c r="E16" s="70">
        <v>0</v>
      </c>
      <c r="F16" s="94">
        <f t="shared" si="0"/>
        <v>0</v>
      </c>
      <c r="G16" s="69">
        <f>IF(D15="ACAD",+G15*0.428,0)</f>
        <v>0</v>
      </c>
      <c r="J16" s="182">
        <f>IF($D16="CAL",ROUND(($G16*(1+'Salary Inflation'!$B$35))*$E16,0),IF($D16="ACAD",($G16/0.9965)*(1+'Salary Inflation'!$O$46)*$E16,IF($D16="SUMR",($G16)*(1+'Salary Inflation'!$O$47)*$E16,"NA")))</f>
        <v>0</v>
      </c>
      <c r="K16" s="151">
        <f>IF(D16="CAL",ROUND(J16*'RATES-Non Fed'!$E$38,0),IF(D16="ACAD",J16*'RATES-Non Fed'!$E$44,J16*'RATES-Non Fed'!$E$45))</f>
        <v>0</v>
      </c>
      <c r="L16" s="67">
        <f t="shared" si="2"/>
        <v>0</v>
      </c>
      <c r="M16" s="182">
        <f>IF($D16="CAL",ROUND((J16*(1+'Salary Inflation'!$C$35)),0),IF($D16="ACAD",(J16)*(1+'Salary Inflation'!$C$36),IF($D16="SUMR",(J16)*(1+'Salary Inflation'!$C$37),"NA")))</f>
        <v>0</v>
      </c>
      <c r="N16" s="151">
        <f>IF($D16="CAL",ROUND(M16*'RATES-Non Fed'!$G$38,0),IF($D16="ACAD",M16*'RATES-Non Fed'!$G$44,M16*'RATES-Non Fed'!$G$45))</f>
        <v>0</v>
      </c>
      <c r="O16" s="67">
        <f t="shared" si="1"/>
        <v>0</v>
      </c>
      <c r="P16" s="182">
        <f>IF($D16="CAL",ROUND((M16*(1+'Salary Inflation'!$D$35)),0),IF($D16="ACAD",(M16)*(1+'Salary Inflation'!$D$36),IF($D16="SUMR",(M16)*(1+'Salary Inflation'!$D$37),"NA")))</f>
        <v>0</v>
      </c>
      <c r="Q16" s="151">
        <f>IF($D16="CAL",ROUND(P16*'RATES-Non Fed'!$I$38,0),IF($D16="ACAD",P16*'RATES-Non Fed'!$I$44,P16*'RATES-Non Fed'!$I$45))</f>
        <v>0</v>
      </c>
      <c r="R16" s="67">
        <f t="shared" si="3"/>
        <v>0</v>
      </c>
      <c r="S16" s="42">
        <f t="shared" si="4"/>
        <v>0</v>
      </c>
    </row>
    <row r="17" spans="1:20" ht="15.75">
      <c r="A17" s="1"/>
      <c r="B17" s="1" t="s">
        <v>15</v>
      </c>
      <c r="C17" s="3"/>
      <c r="D17" s="135" t="s">
        <v>122</v>
      </c>
      <c r="E17" s="70">
        <v>0</v>
      </c>
      <c r="F17" s="94">
        <f t="shared" si="0"/>
        <v>0</v>
      </c>
      <c r="G17" s="69">
        <v>0</v>
      </c>
      <c r="J17" s="182">
        <f>IF($D17="CAL",ROUND(($G17*(1+'Salary Inflation'!$B$35))*$E17,0),IF($D17="ACAD",($G17/0.9965)*(1+'Salary Inflation'!$O$46)*$E17,IF($D17="SUMR",($G17)*(1+'Salary Inflation'!$O$47)*$E17,"NA")))</f>
        <v>0</v>
      </c>
      <c r="K17" s="151">
        <f>IF(D17="CAL",ROUND(J17*'RATES-Non Fed'!$E$38,0),IF(D17="ACAD",J17*'RATES-Non Fed'!$E$44,J17*'RATES-Non Fed'!$E$45))</f>
        <v>0</v>
      </c>
      <c r="L17" s="67">
        <f t="shared" si="2"/>
        <v>0</v>
      </c>
      <c r="M17" s="182">
        <f>IF($D17="CAL",ROUND((J17*(1+'Salary Inflation'!$C$35)),0),IF($D17="ACAD",(J17)*(1+'Salary Inflation'!$C$36),IF($D17="SUMR",(J17)*(1+'Salary Inflation'!$C$37),"NA")))</f>
        <v>0</v>
      </c>
      <c r="N17" s="151">
        <f>IF($D17="CAL",ROUND(M17*'RATES-Non Fed'!$G$38,0),IF($D17="ACAD",M17*'RATES-Non Fed'!$G$44,M17*'RATES-Non Fed'!$G$45))</f>
        <v>0</v>
      </c>
      <c r="O17" s="271">
        <f t="shared" si="1"/>
        <v>0</v>
      </c>
      <c r="P17" s="182">
        <f>IF($D17="CAL",ROUND((M17*(1+'Salary Inflation'!$D$35)),0),IF($D17="ACAD",(M17)*(1+'Salary Inflation'!$D$36),IF($D17="SUMR",(M17)*(1+'Salary Inflation'!$D$37),"NA")))</f>
        <v>0</v>
      </c>
      <c r="Q17" s="151">
        <f>IF($D17="CAL",ROUND(P17*'RATES-Non Fed'!$I$38,0),IF($D17="ACAD",P17*'RATES-Non Fed'!$I$44,P17*'RATES-Non Fed'!$I$45))</f>
        <v>0</v>
      </c>
      <c r="R17" s="67">
        <f t="shared" si="3"/>
        <v>0</v>
      </c>
      <c r="S17" s="42">
        <f t="shared" si="4"/>
        <v>0</v>
      </c>
      <c r="T17" s="1"/>
    </row>
    <row r="18" spans="1:19" ht="15.75">
      <c r="A18" s="1"/>
      <c r="B18" s="1" t="s">
        <v>15</v>
      </c>
      <c r="C18" s="3"/>
      <c r="D18" s="135" t="s">
        <v>122</v>
      </c>
      <c r="E18" s="70">
        <v>0</v>
      </c>
      <c r="F18" s="94">
        <f t="shared" si="0"/>
        <v>0</v>
      </c>
      <c r="G18" s="69">
        <v>0</v>
      </c>
      <c r="J18" s="182">
        <f>IF($D18="CAL",ROUND(($G18*(1+'Salary Inflation'!$B$35))*$E18,0),IF($D18="ACAD",($G18/0.9965)*(1+'Salary Inflation'!$O$46)*$E18,IF($D18="SUMR",($G18)*(1+'Salary Inflation'!$O$47)*$E18,"NA")))</f>
        <v>0</v>
      </c>
      <c r="K18" s="151">
        <f>IF(D18="CAL",ROUND(J18*'RATES-Non Fed'!$E$38,0),IF(D18="ACAD",J18*'RATES-Non Fed'!$E$44,J18*'RATES-Non Fed'!$E$45))</f>
        <v>0</v>
      </c>
      <c r="L18" s="201">
        <f t="shared" si="2"/>
        <v>0</v>
      </c>
      <c r="M18" s="195">
        <f>IF($D18="CAL",ROUND((J18*(1+'Salary Inflation'!$C$35)),0),IF($D18="ACAD",(J18)*(1+'Salary Inflation'!$C$36),IF($D18="SUMR",(J18)*(1+'Salary Inflation'!$C$37),"NA")))</f>
        <v>0</v>
      </c>
      <c r="N18" s="200">
        <f>IF($D18="CAL",ROUND(M18*'RATES-Non Fed'!$G$38,0),IF($D18="ACAD",M18*'RATES-Non Fed'!$G$44,M18*'RATES-Non Fed'!$G$45))</f>
        <v>0</v>
      </c>
      <c r="O18" s="201">
        <f t="shared" si="1"/>
        <v>0</v>
      </c>
      <c r="P18" s="195">
        <f>IF($D18="CAL",ROUND((M18*(1+'Salary Inflation'!$D$35)),0),IF($D18="ACAD",(M18)*(1+'Salary Inflation'!$D$36),IF($D18="SUMR",(M18)*(1+'Salary Inflation'!$D$37),"NA")))</f>
        <v>0</v>
      </c>
      <c r="Q18" s="200">
        <f>IF($D18="CAL",ROUND(P18*'RATES-Non Fed'!$I$38,0),IF($D18="ACAD",P18*'RATES-Non Fed'!$I$44,P18*'RATES-Non Fed'!$I$45))</f>
        <v>0</v>
      </c>
      <c r="R18" s="201">
        <f t="shared" si="3"/>
        <v>0</v>
      </c>
      <c r="S18" s="198">
        <f t="shared" si="4"/>
        <v>0</v>
      </c>
    </row>
    <row r="19" spans="1:20" ht="15.75">
      <c r="A19" s="1"/>
      <c r="B19" s="1"/>
      <c r="C19" s="1"/>
      <c r="D19" s="25" t="s">
        <v>16</v>
      </c>
      <c r="E19" s="26"/>
      <c r="F19" s="26"/>
      <c r="G19" s="1"/>
      <c r="H19" s="1"/>
      <c r="I19" s="1"/>
      <c r="J19" s="199">
        <f aca="true" t="shared" si="5" ref="J19:R19">SUM(J11:J18)</f>
        <v>0</v>
      </c>
      <c r="K19" s="152">
        <f t="shared" si="5"/>
        <v>0</v>
      </c>
      <c r="L19" s="46">
        <f t="shared" si="5"/>
        <v>0</v>
      </c>
      <c r="M19" s="199">
        <f t="shared" si="5"/>
        <v>0</v>
      </c>
      <c r="N19" s="152">
        <f t="shared" si="5"/>
        <v>0</v>
      </c>
      <c r="O19" s="46">
        <f t="shared" si="5"/>
        <v>0</v>
      </c>
      <c r="P19" s="199">
        <f t="shared" si="5"/>
        <v>0</v>
      </c>
      <c r="Q19" s="152">
        <f t="shared" si="5"/>
        <v>0</v>
      </c>
      <c r="R19" s="46">
        <f t="shared" si="5"/>
        <v>0</v>
      </c>
      <c r="S19" s="42">
        <f>SUM(S11:S18)</f>
        <v>0</v>
      </c>
      <c r="T19" s="6"/>
    </row>
    <row r="20" spans="1:18" ht="15.75">
      <c r="A20" s="21" t="s">
        <v>217</v>
      </c>
      <c r="B20" s="21" t="s">
        <v>218</v>
      </c>
      <c r="C20" s="1"/>
      <c r="D20" s="25"/>
      <c r="E20" s="26"/>
      <c r="F20" s="26"/>
      <c r="G20" s="1"/>
      <c r="H20" s="1"/>
      <c r="I20" s="1"/>
      <c r="J20" s="199"/>
      <c r="K20" s="152"/>
      <c r="L20" s="46"/>
      <c r="M20" s="42"/>
      <c r="N20" s="6"/>
      <c r="O20"/>
      <c r="Q20"/>
      <c r="R20"/>
    </row>
    <row r="21" spans="1:19" ht="15.75">
      <c r="A21" s="1"/>
      <c r="B21" s="1" t="s">
        <v>15</v>
      </c>
      <c r="C21" s="3"/>
      <c r="D21" s="135" t="s">
        <v>122</v>
      </c>
      <c r="E21" s="70">
        <v>0</v>
      </c>
      <c r="F21" s="94">
        <f>IF(D21="CAL",(52*E21/4.3333),(IF(D21="ACAD",(32*E21/4.33333),IF(D21="SUMR",(14*E21/4.33333),IF(D21="PT",(0),0)))))</f>
        <v>0</v>
      </c>
      <c r="G21" s="69">
        <v>0</v>
      </c>
      <c r="J21" s="182">
        <f>ROUND(($G21*(1+'Salary Inflation'!$B$39))*$E21,0)</f>
        <v>0</v>
      </c>
      <c r="K21" s="151">
        <f>ROUND(J21*'RATES-Non Fed'!E40,0)</f>
        <v>0</v>
      </c>
      <c r="L21" s="67">
        <f>ROUND(K21+J21,0)</f>
        <v>0</v>
      </c>
      <c r="M21" s="182">
        <f>ROUND(J21*(1+'Salary Inflation'!$C$39),0)</f>
        <v>0</v>
      </c>
      <c r="N21" s="151">
        <f>ROUND(M21*'RATES-Non Fed'!G40,0)</f>
        <v>0</v>
      </c>
      <c r="O21" s="67">
        <f>ROUND(M21+N21,0)</f>
        <v>0</v>
      </c>
      <c r="P21" s="182">
        <f>ROUND(M21*(1+'Salary Inflation'!$C$39),0)</f>
        <v>0</v>
      </c>
      <c r="Q21" s="151">
        <f>ROUND(P21*'RATES-Non Fed'!I40,0)</f>
        <v>0</v>
      </c>
      <c r="R21" s="67">
        <f>ROUND(P21+Q21,0)</f>
        <v>0</v>
      </c>
      <c r="S21" s="42">
        <f>SUM(L21+O21+R21)</f>
        <v>0</v>
      </c>
    </row>
    <row r="22" spans="1:19" ht="15.75">
      <c r="A22" s="1"/>
      <c r="B22" s="1" t="s">
        <v>15</v>
      </c>
      <c r="C22" s="3"/>
      <c r="D22" s="135" t="s">
        <v>122</v>
      </c>
      <c r="E22" s="70">
        <v>0</v>
      </c>
      <c r="F22" s="94">
        <f>IF(D22="CAL",(52*E22/4.3333),(IF(D22="ACAD",(32*E22/4.33333),IF(D22="SUMR",(14*E22/4.33333),IF(D22="PT",(0),0)))))</f>
        <v>0</v>
      </c>
      <c r="G22" s="69">
        <v>0</v>
      </c>
      <c r="J22" s="182">
        <f>ROUND(($G22*(1+'Salary Inflation'!$B$39))*$E22,0)</f>
        <v>0</v>
      </c>
      <c r="K22" s="151">
        <f>ROUND(J22*'RATES-Non Fed'!E40,0)</f>
        <v>0</v>
      </c>
      <c r="L22" s="67">
        <f>ROUND(K22+J22,0)</f>
        <v>0</v>
      </c>
      <c r="M22" s="182">
        <f>ROUND(J22*(1+'Salary Inflation'!$C$39),0)</f>
        <v>0</v>
      </c>
      <c r="N22" s="151">
        <f>ROUND(M22*'RATES-Non Fed'!G40,0)</f>
        <v>0</v>
      </c>
      <c r="O22" s="67">
        <f>ROUND(M22+N22,0)</f>
        <v>0</v>
      </c>
      <c r="P22" s="182">
        <f>ROUND(M22*(1+'Salary Inflation'!$C$39),0)</f>
        <v>0</v>
      </c>
      <c r="Q22" s="151">
        <f>ROUND(P22*'RATES-Non Fed'!I40,0)</f>
        <v>0</v>
      </c>
      <c r="R22" s="67">
        <f>ROUND(P22+Q22,0)</f>
        <v>0</v>
      </c>
      <c r="S22" s="42">
        <f>SUM(L22+O22+R22)</f>
        <v>0</v>
      </c>
    </row>
    <row r="23" spans="1:19" ht="15.75">
      <c r="A23" s="1"/>
      <c r="B23" s="1" t="s">
        <v>15</v>
      </c>
      <c r="C23" s="3"/>
      <c r="D23" s="135" t="s">
        <v>122</v>
      </c>
      <c r="E23" s="70">
        <v>0</v>
      </c>
      <c r="F23" s="94">
        <f>IF(D23="CAL",(52*E23/4.3333),(IF(D23="ACAD",(32*E23/4.33333),IF(D23="SUMR",(14*E23/4.33333),IF(D23="PT",(0),0)))))</f>
        <v>0</v>
      </c>
      <c r="G23" s="69">
        <v>0</v>
      </c>
      <c r="J23" s="182">
        <f>ROUND(($G23*(1+'Salary Inflation'!$B$39))*$E23,0)</f>
        <v>0</v>
      </c>
      <c r="K23" s="151">
        <f>ROUND(J23*'RATES-Non Fed'!E40,0)</f>
        <v>0</v>
      </c>
      <c r="L23" s="67">
        <f>ROUND(K23+J23,0)</f>
        <v>0</v>
      </c>
      <c r="M23" s="182">
        <f>ROUND(J23*(1+'Salary Inflation'!$C$39),0)</f>
        <v>0</v>
      </c>
      <c r="N23" s="151">
        <f>ROUND(M23*'RATES-Non Fed'!G40,0)</f>
        <v>0</v>
      </c>
      <c r="O23" s="67">
        <f>ROUND(M23+N23,0)</f>
        <v>0</v>
      </c>
      <c r="P23" s="182">
        <f>ROUND(M23*(1+'Salary Inflation'!$C$39),0)</f>
        <v>0</v>
      </c>
      <c r="Q23" s="151">
        <f>ROUND(P23*'RATES-Non Fed'!I40,0)</f>
        <v>0</v>
      </c>
      <c r="R23" s="67">
        <f>ROUND(P23+Q23,0)</f>
        <v>0</v>
      </c>
      <c r="S23" s="42">
        <f>SUM(L23+O23+R23)</f>
        <v>0</v>
      </c>
    </row>
    <row r="24" spans="1:19" ht="15.75">
      <c r="A24" s="1"/>
      <c r="B24" s="1" t="s">
        <v>15</v>
      </c>
      <c r="C24" s="3"/>
      <c r="D24" s="135" t="s">
        <v>122</v>
      </c>
      <c r="E24" s="70">
        <v>0</v>
      </c>
      <c r="F24" s="94">
        <f>IF(D24="CAL",(52*E24/4.3333),(IF(D24="ACAD",(32*E24/4.33333),IF(D24="SUMR",(14*E24/4.33333),IF(D24="PT",(0),0)))))</f>
        <v>0</v>
      </c>
      <c r="G24" s="69">
        <v>0</v>
      </c>
      <c r="J24" s="195">
        <f>ROUND(($G24*(1+'Salary Inflation'!$B$39))*$E24,0)</f>
        <v>0</v>
      </c>
      <c r="K24" s="200">
        <f>ROUND(J24*'RATES-Non Fed'!E40,0)</f>
        <v>0</v>
      </c>
      <c r="L24" s="201">
        <f>ROUND(K24+J24,0)</f>
        <v>0</v>
      </c>
      <c r="M24" s="195">
        <f>ROUND(J24*(1+'Salary Inflation'!$C$39),0)</f>
        <v>0</v>
      </c>
      <c r="N24" s="200">
        <f>ROUND(M24*'RATES-Non Fed'!G40,0)</f>
        <v>0</v>
      </c>
      <c r="O24" s="201">
        <f>ROUND(M24+N24,0)</f>
        <v>0</v>
      </c>
      <c r="P24" s="195">
        <f>ROUND(M24*(1+'Salary Inflation'!$C$39),0)</f>
        <v>0</v>
      </c>
      <c r="Q24" s="200">
        <f>ROUND(P24*'RATES-Non Fed'!I40,0)</f>
        <v>0</v>
      </c>
      <c r="R24" s="201">
        <f>ROUND(P24+Q24,0)</f>
        <v>0</v>
      </c>
      <c r="S24" s="198">
        <f>SUM(L24+O24+R24)</f>
        <v>0</v>
      </c>
    </row>
    <row r="25" spans="1:19" ht="15.75">
      <c r="A25" s="1"/>
      <c r="B25" s="1"/>
      <c r="C25" s="1"/>
      <c r="D25" s="25" t="s">
        <v>222</v>
      </c>
      <c r="E25" s="26"/>
      <c r="F25" s="26"/>
      <c r="G25" s="1"/>
      <c r="H25" s="1"/>
      <c r="I25" s="1"/>
      <c r="J25" s="186">
        <f aca="true" t="shared" si="6" ref="J25:S25">SUM(J21:J24)</f>
        <v>0</v>
      </c>
      <c r="K25" s="152">
        <f t="shared" si="6"/>
        <v>0</v>
      </c>
      <c r="L25" s="46">
        <f t="shared" si="6"/>
        <v>0</v>
      </c>
      <c r="M25" s="76">
        <f t="shared" si="6"/>
        <v>0</v>
      </c>
      <c r="N25" s="6">
        <f t="shared" si="6"/>
        <v>0</v>
      </c>
      <c r="O25" s="76">
        <f t="shared" si="6"/>
        <v>0</v>
      </c>
      <c r="P25" s="42">
        <f t="shared" si="6"/>
        <v>0</v>
      </c>
      <c r="Q25" s="42">
        <f t="shared" si="6"/>
        <v>0</v>
      </c>
      <c r="R25" s="76">
        <f t="shared" si="6"/>
        <v>0</v>
      </c>
      <c r="S25" s="42">
        <f t="shared" si="6"/>
        <v>0</v>
      </c>
    </row>
    <row r="26" spans="1:20" ht="7.5" customHeight="1">
      <c r="A26" s="1"/>
      <c r="B26" s="1"/>
      <c r="C26" s="1"/>
      <c r="D26" s="26"/>
      <c r="E26" s="26"/>
      <c r="F26" s="26"/>
      <c r="G26" s="1"/>
      <c r="H26" s="1"/>
      <c r="I26" s="1"/>
      <c r="J26" s="187"/>
      <c r="K26" s="152"/>
      <c r="L26" s="46"/>
      <c r="M26" s="181"/>
      <c r="N26" s="152"/>
      <c r="O26" s="46"/>
      <c r="P26" s="181"/>
      <c r="Q26" s="152"/>
      <c r="R26" s="46"/>
      <c r="S26" s="42"/>
      <c r="T26" s="6"/>
    </row>
    <row r="27" spans="1:20" ht="15.75">
      <c r="A27" s="22" t="s">
        <v>219</v>
      </c>
      <c r="B27" s="22" t="s">
        <v>17</v>
      </c>
      <c r="C27" s="1"/>
      <c r="D27" s="26"/>
      <c r="E27" s="1"/>
      <c r="F27" s="1"/>
      <c r="G27" s="41"/>
      <c r="H27" s="1"/>
      <c r="I27" s="1"/>
      <c r="J27" s="185"/>
      <c r="K27" s="148"/>
      <c r="L27" s="138"/>
      <c r="M27" s="185"/>
      <c r="N27" s="152"/>
      <c r="O27" s="46"/>
      <c r="P27" s="185"/>
      <c r="Q27" s="152"/>
      <c r="R27" s="46"/>
      <c r="S27" s="42"/>
      <c r="T27" s="6"/>
    </row>
    <row r="28" spans="1:20" ht="15.75">
      <c r="A28" s="1"/>
      <c r="C28" s="13" t="s">
        <v>86</v>
      </c>
      <c r="D28" s="41" t="s">
        <v>119</v>
      </c>
      <c r="E28" s="68"/>
      <c r="F28" s="68"/>
      <c r="G28" s="59"/>
      <c r="J28" s="182"/>
      <c r="K28" s="153"/>
      <c r="L28" s="50"/>
      <c r="M28" s="182"/>
      <c r="N28" s="163"/>
      <c r="O28" s="143"/>
      <c r="P28" s="182"/>
      <c r="Q28" s="163"/>
      <c r="R28" s="143"/>
      <c r="S28" s="42"/>
      <c r="T28" s="5"/>
    </row>
    <row r="29" spans="1:20" ht="15.75">
      <c r="A29" s="1"/>
      <c r="C29" s="13"/>
      <c r="D29" s="1"/>
      <c r="E29" s="70">
        <v>0</v>
      </c>
      <c r="F29" s="93">
        <f>SUM(52*E29/4.3333)</f>
        <v>0</v>
      </c>
      <c r="G29" s="69">
        <v>0</v>
      </c>
      <c r="J29" s="182">
        <f>ROUND(($G29*(1+'Salary Inflation'!$B$38))*$E29,0)</f>
        <v>0</v>
      </c>
      <c r="K29" s="298">
        <v>0</v>
      </c>
      <c r="L29" s="299">
        <f>SUM(J29:K29)</f>
        <v>0</v>
      </c>
      <c r="M29" s="182">
        <f>ROUND(J29*(1+'Salary Inflation'!$C$38),0)</f>
        <v>0</v>
      </c>
      <c r="N29" s="298">
        <v>0</v>
      </c>
      <c r="O29" s="299">
        <f>SUM(M29:N29)</f>
        <v>0</v>
      </c>
      <c r="P29" s="182">
        <f>ROUND(M29*(1+'Salary Inflation'!$D$38),0)</f>
        <v>0</v>
      </c>
      <c r="Q29" s="153">
        <f>ROUND(P29*'RATES-Non Fed'!I39,0)</f>
        <v>0</v>
      </c>
      <c r="R29" s="50">
        <f>SUM(P29:Q29)</f>
        <v>0</v>
      </c>
      <c r="S29" s="42">
        <f>SUM(L29+O29+R29)</f>
        <v>0</v>
      </c>
      <c r="T29" s="5"/>
    </row>
    <row r="30" spans="1:20" ht="15.75">
      <c r="A30" s="1"/>
      <c r="C30" s="13"/>
      <c r="D30" s="1"/>
      <c r="E30" s="70">
        <v>0</v>
      </c>
      <c r="F30" s="93">
        <f>SUM(52*E30/4.3333)</f>
        <v>0</v>
      </c>
      <c r="G30" s="69">
        <v>0</v>
      </c>
      <c r="J30" s="182">
        <f>ROUND(($G30*(1+'Salary Inflation'!$B$38))*$E30,0)</f>
        <v>0</v>
      </c>
      <c r="K30" s="298">
        <v>0</v>
      </c>
      <c r="L30" s="299">
        <f>SUM(J30:K30)</f>
        <v>0</v>
      </c>
      <c r="M30" s="182">
        <f>ROUND(J30*(1+'Salary Inflation'!$C$38),0)</f>
        <v>0</v>
      </c>
      <c r="N30" s="298">
        <v>0</v>
      </c>
      <c r="O30" s="299">
        <f>SUM(M30:N30)</f>
        <v>0</v>
      </c>
      <c r="P30" s="182">
        <f>ROUND(M30*(1+'Salary Inflation'!$D$38),0)</f>
        <v>0</v>
      </c>
      <c r="Q30" s="153">
        <f>ROUND(P30*'RATES-Non Fed'!I39,0)</f>
        <v>0</v>
      </c>
      <c r="R30" s="50">
        <f>SUM(P30:Q30)</f>
        <v>0</v>
      </c>
      <c r="S30" s="42">
        <f>SUM(L30+O30+R30)</f>
        <v>0</v>
      </c>
      <c r="T30" s="5"/>
    </row>
    <row r="31" spans="1:20" ht="15.75">
      <c r="A31" s="1"/>
      <c r="C31" s="13"/>
      <c r="D31" s="1"/>
      <c r="E31" s="70">
        <v>0</v>
      </c>
      <c r="F31" s="93">
        <f>SUM(52*E31/4.3333)</f>
        <v>0</v>
      </c>
      <c r="G31" s="69">
        <v>0</v>
      </c>
      <c r="J31" s="195">
        <f>ROUND(($G31*(1+'Salary Inflation'!$B$38))*$E31,0)</f>
        <v>0</v>
      </c>
      <c r="K31" s="300">
        <v>0</v>
      </c>
      <c r="L31" s="301">
        <f>SUM(J31:K31)</f>
        <v>0</v>
      </c>
      <c r="M31" s="195">
        <f>ROUND(J31*(1+'Salary Inflation'!$C$38),0)</f>
        <v>0</v>
      </c>
      <c r="N31" s="300">
        <v>0</v>
      </c>
      <c r="O31" s="301">
        <f>SUM(M31:N31)</f>
        <v>0</v>
      </c>
      <c r="P31" s="195">
        <f>ROUND(M31*(1+'Salary Inflation'!$D$38),0)</f>
        <v>0</v>
      </c>
      <c r="Q31" s="196">
        <f>ROUND(P31*'RATES-Non Fed'!I39,0)</f>
        <v>0</v>
      </c>
      <c r="R31" s="197">
        <f>SUM(P31:Q31)</f>
        <v>0</v>
      </c>
      <c r="S31" s="198">
        <f>SUM(L31+O31+R31)</f>
        <v>0</v>
      </c>
      <c r="T31" s="5"/>
    </row>
    <row r="32" spans="1:20" ht="15.75">
      <c r="A32" s="1"/>
      <c r="C32" s="13"/>
      <c r="D32" s="1" t="s">
        <v>120</v>
      </c>
      <c r="E32" s="70"/>
      <c r="F32" s="70"/>
      <c r="G32" s="69"/>
      <c r="J32" s="182">
        <f aca="true" t="shared" si="7" ref="J32:P32">SUM(J29:J31)</f>
        <v>0</v>
      </c>
      <c r="K32" s="298">
        <f t="shared" si="7"/>
        <v>0</v>
      </c>
      <c r="L32" s="299">
        <f t="shared" si="7"/>
        <v>0</v>
      </c>
      <c r="M32" s="182">
        <f t="shared" si="7"/>
        <v>0</v>
      </c>
      <c r="N32" s="262">
        <f t="shared" si="7"/>
        <v>0</v>
      </c>
      <c r="O32" s="143">
        <f t="shared" si="7"/>
        <v>0</v>
      </c>
      <c r="P32" s="182">
        <f t="shared" si="7"/>
        <v>0</v>
      </c>
      <c r="Q32" s="163">
        <f>SUM(Q29:Q31)</f>
        <v>0</v>
      </c>
      <c r="R32" s="143">
        <f>SUM(R29:R31)</f>
        <v>0</v>
      </c>
      <c r="S32" s="42">
        <f>SUM(S29:S31)</f>
        <v>0</v>
      </c>
      <c r="T32" s="5"/>
    </row>
    <row r="33" spans="1:20" ht="9.75" customHeight="1">
      <c r="A33" s="1"/>
      <c r="C33" s="13"/>
      <c r="D33" s="1"/>
      <c r="E33" s="70"/>
      <c r="F33" s="70"/>
      <c r="G33" s="69"/>
      <c r="J33" s="182"/>
      <c r="K33" s="298"/>
      <c r="L33" s="299"/>
      <c r="M33" s="182"/>
      <c r="N33" s="262"/>
      <c r="O33" s="143"/>
      <c r="P33" s="182"/>
      <c r="Q33" s="163"/>
      <c r="R33" s="143"/>
      <c r="S33" s="42"/>
      <c r="T33" s="5"/>
    </row>
    <row r="34" spans="1:20" ht="15.75">
      <c r="A34" s="1"/>
      <c r="C34" s="13" t="s">
        <v>87</v>
      </c>
      <c r="D34" s="1"/>
      <c r="E34" s="70">
        <v>0</v>
      </c>
      <c r="F34" s="93">
        <f>SUM(52*E34/4.3333)</f>
        <v>0</v>
      </c>
      <c r="G34" s="69">
        <v>0</v>
      </c>
      <c r="J34" s="182">
        <f>ROUND(($G34*(1+'Salary Inflation'!$B$38))*$E34,0)</f>
        <v>0</v>
      </c>
      <c r="K34" s="298">
        <v>0</v>
      </c>
      <c r="L34" s="299">
        <f>SUM(J34:K34)</f>
        <v>0</v>
      </c>
      <c r="M34" s="182">
        <f>ROUND(J34*(1+'Salary Inflation'!$C$38),0)</f>
        <v>0</v>
      </c>
      <c r="N34" s="298">
        <v>0</v>
      </c>
      <c r="O34" s="299">
        <f>SUM(M34:N34)</f>
        <v>0</v>
      </c>
      <c r="P34" s="182">
        <f>ROUND(M34*(1+'Salary Inflation'!$D$38),0)</f>
        <v>0</v>
      </c>
      <c r="Q34" s="153">
        <f>ROUND(P34*'RATES-Non Fed'!I43,0)</f>
        <v>0</v>
      </c>
      <c r="R34" s="50">
        <f>SUM(P34:Q34)</f>
        <v>0</v>
      </c>
      <c r="S34" s="42">
        <f>SUM(L34+O34+R34)</f>
        <v>0</v>
      </c>
      <c r="T34" s="5"/>
    </row>
    <row r="35" spans="1:20" ht="15.75">
      <c r="A35" s="1"/>
      <c r="C35" s="13" t="s">
        <v>18</v>
      </c>
      <c r="D35" s="1"/>
      <c r="E35" s="70">
        <v>0</v>
      </c>
      <c r="F35" s="93">
        <f>SUM(52*E35/4.3333)</f>
        <v>0</v>
      </c>
      <c r="G35" s="69">
        <v>0</v>
      </c>
      <c r="J35" s="182">
        <f>ROUND(($G35*(1+'Salary Inflation'!$B$38))*$E35,0)</f>
        <v>0</v>
      </c>
      <c r="K35" s="298">
        <v>0</v>
      </c>
      <c r="L35" s="299">
        <f>SUM(J35:K35)</f>
        <v>0</v>
      </c>
      <c r="M35" s="182">
        <f>ROUND(J35*(1+'Salary Inflation'!$C$38),0)</f>
        <v>0</v>
      </c>
      <c r="N35" s="298">
        <v>0</v>
      </c>
      <c r="O35" s="299">
        <f>SUM(M35:N35)</f>
        <v>0</v>
      </c>
      <c r="P35" s="182">
        <f>ROUND(M35*(1+'Salary Inflation'!$D$38),0)</f>
        <v>0</v>
      </c>
      <c r="Q35" s="153">
        <f>ROUND(P35*'RATES-Non Fed'!I42,0)</f>
        <v>0</v>
      </c>
      <c r="R35" s="50">
        <f>SUM(P35:Q35)</f>
        <v>0</v>
      </c>
      <c r="S35" s="42">
        <f>SUM(L35+O35+R35)</f>
        <v>0</v>
      </c>
      <c r="T35" s="5"/>
    </row>
    <row r="36" spans="1:20" ht="15.75">
      <c r="A36" s="1"/>
      <c r="C36" s="13" t="s">
        <v>19</v>
      </c>
      <c r="D36" s="1"/>
      <c r="E36" s="70">
        <v>0</v>
      </c>
      <c r="F36" s="93">
        <f>SUM(52*E36/4.3333)</f>
        <v>0</v>
      </c>
      <c r="G36" s="69">
        <v>0</v>
      </c>
      <c r="J36" s="182">
        <f>ROUND(($G36*(1+'Salary Inflation'!$B$38))*$E36,0)</f>
        <v>0</v>
      </c>
      <c r="K36" s="298">
        <v>0</v>
      </c>
      <c r="L36" s="299">
        <f>SUM(J36:K36)</f>
        <v>0</v>
      </c>
      <c r="M36" s="182">
        <f>ROUND(J36*(1+'Salary Inflation'!$C$38),0)</f>
        <v>0</v>
      </c>
      <c r="N36" s="298">
        <v>0</v>
      </c>
      <c r="O36" s="299">
        <f>SUM(M36:N36)</f>
        <v>0</v>
      </c>
      <c r="P36" s="182">
        <f>ROUND(M36*(1+'Salary Inflation'!$D$38),0)</f>
        <v>0</v>
      </c>
      <c r="Q36" s="153">
        <f>ROUND(P36*'RATES-Non Fed'!I42,0)</f>
        <v>0</v>
      </c>
      <c r="R36" s="50">
        <f>SUM(P36:Q36)</f>
        <v>0</v>
      </c>
      <c r="S36" s="42">
        <f>SUM(L36+O36+R36)</f>
        <v>0</v>
      </c>
      <c r="T36" s="5"/>
    </row>
    <row r="37" spans="1:20" s="90" customFormat="1" ht="15.75">
      <c r="A37" s="138"/>
      <c r="C37" s="137" t="s">
        <v>20</v>
      </c>
      <c r="D37" s="138"/>
      <c r="E37" s="70">
        <v>0</v>
      </c>
      <c r="F37" s="93">
        <f>SUM(52*E37/4.3333)</f>
        <v>0</v>
      </c>
      <c r="G37" s="69">
        <v>0</v>
      </c>
      <c r="J37" s="182">
        <f>ROUND(($G37*(1+'Salary Inflation'!$B$38))*$E37,0)</f>
        <v>0</v>
      </c>
      <c r="K37" s="298">
        <v>0</v>
      </c>
      <c r="L37" s="299">
        <f>SUM(J37:K37)</f>
        <v>0</v>
      </c>
      <c r="M37" s="182">
        <f>ROUND(J37*(1+'Salary Inflation'!$C$38),0)</f>
        <v>0</v>
      </c>
      <c r="N37" s="298">
        <v>0</v>
      </c>
      <c r="O37" s="299">
        <f>SUM(M37:N37)</f>
        <v>0</v>
      </c>
      <c r="P37" s="182">
        <f>ROUND(M37*(1+'Salary Inflation'!$D$38),0)</f>
        <v>0</v>
      </c>
      <c r="Q37" s="153">
        <f>ROUND(P37*'RATES-Non Fed'!I43,0)</f>
        <v>0</v>
      </c>
      <c r="R37" s="50">
        <f>SUM(P37:Q37)</f>
        <v>0</v>
      </c>
      <c r="S37" s="42">
        <f>SUM(L37+O37+R37)</f>
        <v>0</v>
      </c>
      <c r="T37" s="145"/>
    </row>
    <row r="38" spans="1:20" s="90" customFormat="1" ht="15.75">
      <c r="A38" s="138"/>
      <c r="C38" s="137" t="s">
        <v>88</v>
      </c>
      <c r="D38" s="138"/>
      <c r="E38" s="70">
        <v>0</v>
      </c>
      <c r="F38" s="93">
        <f>SUM(52*E38/4.3333)</f>
        <v>0</v>
      </c>
      <c r="G38" s="69">
        <v>0</v>
      </c>
      <c r="J38" s="195">
        <f>ROUND(($G38*(1+'Salary Inflation'!$B$38))*$E38,0)</f>
        <v>0</v>
      </c>
      <c r="K38" s="300">
        <v>0</v>
      </c>
      <c r="L38" s="301">
        <f>SUM(J38:K38)</f>
        <v>0</v>
      </c>
      <c r="M38" s="195">
        <f>ROUND(J38*(1+'Salary Inflation'!$C$38),0)</f>
        <v>0</v>
      </c>
      <c r="N38" s="203">
        <v>0</v>
      </c>
      <c r="O38" s="301">
        <f>SUM(M38:N38)</f>
        <v>0</v>
      </c>
      <c r="P38" s="195">
        <f>ROUND(M38*(1+'Salary Inflation'!$D$38),0)</f>
        <v>0</v>
      </c>
      <c r="Q38" s="203">
        <f>ROUND(P38*'RATES-Non Fed'!I41,0)</f>
        <v>0</v>
      </c>
      <c r="R38" s="197">
        <f>SUM(P38:Q38)</f>
        <v>0</v>
      </c>
      <c r="S38" s="198">
        <f>SUM(L38+O38+R38)</f>
        <v>0</v>
      </c>
      <c r="T38" s="145"/>
    </row>
    <row r="39" spans="1:20" ht="15.75">
      <c r="A39" s="1"/>
      <c r="B39" s="1"/>
      <c r="C39" s="1"/>
      <c r="D39" s="183" t="s">
        <v>183</v>
      </c>
      <c r="E39" s="26"/>
      <c r="F39" s="26"/>
      <c r="G39" s="1"/>
      <c r="H39" s="1"/>
      <c r="I39" s="1"/>
      <c r="J39" s="202">
        <f aca="true" t="shared" si="8" ref="J39:R39">SUM(J19+J25+J32+J34+J35+J36+J37+J38)</f>
        <v>0</v>
      </c>
      <c r="K39" s="153">
        <f t="shared" si="8"/>
        <v>0</v>
      </c>
      <c r="L39" s="50">
        <f t="shared" si="8"/>
        <v>0</v>
      </c>
      <c r="M39" s="202">
        <f t="shared" si="8"/>
        <v>0</v>
      </c>
      <c r="N39" s="153">
        <f t="shared" si="8"/>
        <v>0</v>
      </c>
      <c r="O39" s="50">
        <f t="shared" si="8"/>
        <v>0</v>
      </c>
      <c r="P39" s="202">
        <f t="shared" si="8"/>
        <v>0</v>
      </c>
      <c r="Q39" s="153">
        <f t="shared" si="8"/>
        <v>0</v>
      </c>
      <c r="R39" s="50">
        <f t="shared" si="8"/>
        <v>0</v>
      </c>
      <c r="S39" s="42">
        <f>SUM(S34:S38)</f>
        <v>0</v>
      </c>
      <c r="T39" s="5"/>
    </row>
    <row r="40" spans="1:20" ht="7.5" customHeight="1">
      <c r="A40" s="1"/>
      <c r="B40" s="1"/>
      <c r="C40" s="1"/>
      <c r="D40" s="26"/>
      <c r="E40" s="26"/>
      <c r="F40" s="26"/>
      <c r="G40" s="26"/>
      <c r="H40" s="26"/>
      <c r="I40" s="26"/>
      <c r="J40" s="52"/>
      <c r="K40" s="152"/>
      <c r="L40" s="171"/>
      <c r="M40" s="64"/>
      <c r="P40" s="64"/>
      <c r="Q40" s="152"/>
      <c r="R40" s="46"/>
      <c r="S40" s="64" t="s">
        <v>1</v>
      </c>
      <c r="T40" s="6"/>
    </row>
    <row r="41" spans="1:20" s="31" customFormat="1" ht="15.75">
      <c r="A41" s="40" t="s">
        <v>23</v>
      </c>
      <c r="B41" s="21"/>
      <c r="D41" s="28"/>
      <c r="E41" s="28"/>
      <c r="F41" s="28"/>
      <c r="G41" s="28"/>
      <c r="H41" s="28"/>
      <c r="I41" s="28"/>
      <c r="J41" s="47">
        <f>SUM(J39+K39)</f>
        <v>0</v>
      </c>
      <c r="K41" s="154"/>
      <c r="L41" s="173"/>
      <c r="M41" s="47">
        <f>SUM(M39+N39)</f>
        <v>0</v>
      </c>
      <c r="N41" s="154"/>
      <c r="O41" s="139"/>
      <c r="P41" s="47">
        <f>SUM(P39+Q39)</f>
        <v>0</v>
      </c>
      <c r="Q41" s="154"/>
      <c r="R41" s="139"/>
      <c r="S41" s="47">
        <f>SUM(J41+M41+P41)</f>
        <v>0</v>
      </c>
      <c r="T41" s="29"/>
    </row>
    <row r="42" spans="1:20" ht="8.25" customHeight="1">
      <c r="A42" s="1"/>
      <c r="B42" s="1"/>
      <c r="C42" s="28"/>
      <c r="D42" s="26"/>
      <c r="E42" s="26"/>
      <c r="F42" s="26"/>
      <c r="G42" s="26"/>
      <c r="H42" s="26"/>
      <c r="I42" s="26"/>
      <c r="J42" s="52"/>
      <c r="K42" s="152"/>
      <c r="L42" s="171"/>
      <c r="M42" s="46"/>
      <c r="N42" s="152"/>
      <c r="O42" s="46"/>
      <c r="P42" s="46"/>
      <c r="Q42" s="152"/>
      <c r="R42" s="46"/>
      <c r="S42" s="46" t="s">
        <v>1</v>
      </c>
      <c r="T42" s="6"/>
    </row>
    <row r="43" spans="1:20" ht="15.75">
      <c r="A43" s="22" t="s">
        <v>24</v>
      </c>
      <c r="B43" s="22" t="s">
        <v>25</v>
      </c>
      <c r="C43" s="21"/>
      <c r="D43" s="26"/>
      <c r="E43" s="26"/>
      <c r="F43" s="26"/>
      <c r="G43" s="26"/>
      <c r="H43" s="26"/>
      <c r="I43" s="26"/>
      <c r="J43" s="52"/>
      <c r="K43" s="152"/>
      <c r="L43" s="171"/>
      <c r="M43" s="50"/>
      <c r="N43" s="152"/>
      <c r="O43" s="46"/>
      <c r="P43" s="50"/>
      <c r="Q43" s="152"/>
      <c r="R43" s="46"/>
      <c r="S43" s="50" t="s">
        <v>1</v>
      </c>
      <c r="T43" s="6"/>
    </row>
    <row r="44" spans="1:20" ht="15.75">
      <c r="A44" s="21"/>
      <c r="B44" s="21"/>
      <c r="C44" s="10" t="s">
        <v>26</v>
      </c>
      <c r="D44" s="30"/>
      <c r="E44" s="30"/>
      <c r="F44" s="30"/>
      <c r="G44" s="30"/>
      <c r="H44" s="30"/>
      <c r="I44" s="30"/>
      <c r="J44" s="42">
        <v>0</v>
      </c>
      <c r="K44" s="152"/>
      <c r="L44" s="171"/>
      <c r="M44" s="42">
        <v>0</v>
      </c>
      <c r="N44" s="153"/>
      <c r="O44" s="50"/>
      <c r="P44" s="42">
        <v>0</v>
      </c>
      <c r="Q44" s="153"/>
      <c r="R44" s="50"/>
      <c r="S44" s="42">
        <f>SUM(J44:R44)</f>
        <v>0</v>
      </c>
      <c r="T44" s="6"/>
    </row>
    <row r="45" spans="1:20" ht="15.75">
      <c r="A45" s="21"/>
      <c r="B45" s="21"/>
      <c r="C45" s="10" t="s">
        <v>26</v>
      </c>
      <c r="D45" s="30"/>
      <c r="E45" s="30"/>
      <c r="F45" s="30"/>
      <c r="G45" s="30"/>
      <c r="H45" s="30"/>
      <c r="I45" s="30"/>
      <c r="J45" s="42">
        <v>0</v>
      </c>
      <c r="K45" s="152"/>
      <c r="L45" s="171"/>
      <c r="M45" s="42">
        <v>0</v>
      </c>
      <c r="N45" s="153"/>
      <c r="O45" s="50"/>
      <c r="P45" s="42">
        <v>0</v>
      </c>
      <c r="Q45" s="153"/>
      <c r="R45" s="50"/>
      <c r="S45" s="42">
        <f>SUM(J45:R45)</f>
        <v>0</v>
      </c>
      <c r="T45" s="6"/>
    </row>
    <row r="46" spans="1:20" ht="15.75">
      <c r="A46" s="21"/>
      <c r="B46" s="21"/>
      <c r="C46" s="27" t="s">
        <v>27</v>
      </c>
      <c r="D46" s="28"/>
      <c r="E46" s="28"/>
      <c r="F46" s="28"/>
      <c r="G46" s="28"/>
      <c r="H46" s="28"/>
      <c r="I46" s="28"/>
      <c r="J46" s="53">
        <f>SUM(J44:J45)</f>
        <v>0</v>
      </c>
      <c r="K46" s="155"/>
      <c r="L46" s="174"/>
      <c r="M46" s="53">
        <f>SUM(M44:M45)</f>
        <v>0</v>
      </c>
      <c r="N46" s="155"/>
      <c r="O46" s="48"/>
      <c r="P46" s="53">
        <f>SUM(P44:P45)</f>
        <v>0</v>
      </c>
      <c r="Q46" s="155"/>
      <c r="R46" s="48"/>
      <c r="S46" s="53">
        <f>SUM(J46:R46)</f>
        <v>0</v>
      </c>
      <c r="T46" s="29"/>
    </row>
    <row r="47" spans="1:20" ht="9" customHeight="1">
      <c r="A47" s="1"/>
      <c r="B47" s="1"/>
      <c r="C47" s="28"/>
      <c r="D47" s="26"/>
      <c r="E47" s="26"/>
      <c r="F47" s="26"/>
      <c r="G47" s="26"/>
      <c r="H47" s="26"/>
      <c r="I47" s="26"/>
      <c r="J47" s="52"/>
      <c r="K47" s="152"/>
      <c r="L47" s="171"/>
      <c r="M47" s="46"/>
      <c r="N47" s="152"/>
      <c r="O47" s="46"/>
      <c r="P47" s="46"/>
      <c r="Q47" s="152"/>
      <c r="R47" s="46"/>
      <c r="S47" s="46"/>
      <c r="T47" s="6"/>
    </row>
    <row r="48" spans="1:20" ht="15.75">
      <c r="A48" s="22" t="s">
        <v>28</v>
      </c>
      <c r="B48" s="22" t="s">
        <v>29</v>
      </c>
      <c r="C48" s="1"/>
      <c r="D48" s="21"/>
      <c r="E48" s="21"/>
      <c r="F48" s="21"/>
      <c r="G48" s="1"/>
      <c r="H48" s="1"/>
      <c r="I48" s="1"/>
      <c r="J48" s="54" t="s">
        <v>1</v>
      </c>
      <c r="K48" s="153"/>
      <c r="L48" s="172"/>
      <c r="M48" s="45" t="s">
        <v>1</v>
      </c>
      <c r="N48" s="153"/>
      <c r="O48" s="50"/>
      <c r="P48" s="45" t="s">
        <v>1</v>
      </c>
      <c r="Q48" s="153"/>
      <c r="R48" s="50"/>
      <c r="S48" s="45"/>
      <c r="T48" s="5"/>
    </row>
    <row r="49" spans="1:20" ht="15.75">
      <c r="A49" s="21"/>
      <c r="B49" s="21"/>
      <c r="C49" s="13" t="s">
        <v>30</v>
      </c>
      <c r="D49" s="10" t="s">
        <v>26</v>
      </c>
      <c r="E49" s="31"/>
      <c r="F49" s="31"/>
      <c r="J49" s="42">
        <v>0</v>
      </c>
      <c r="K49" s="153"/>
      <c r="L49" s="172"/>
      <c r="M49" s="42">
        <f>ROUND((J49*1.02),0)</f>
        <v>0</v>
      </c>
      <c r="N49" s="163"/>
      <c r="O49" s="143"/>
      <c r="P49" s="42">
        <f>ROUND((M49*1.02),0)</f>
        <v>0</v>
      </c>
      <c r="Q49" s="163"/>
      <c r="R49" s="143"/>
      <c r="S49" s="42">
        <f>SUM(J49:R49)</f>
        <v>0</v>
      </c>
      <c r="T49" s="5"/>
    </row>
    <row r="50" spans="1:20" ht="15.75">
      <c r="A50" s="21"/>
      <c r="B50" s="21"/>
      <c r="C50" s="13" t="s">
        <v>31</v>
      </c>
      <c r="D50" s="10" t="s">
        <v>26</v>
      </c>
      <c r="E50" s="31"/>
      <c r="F50" s="31"/>
      <c r="J50" s="42">
        <v>0</v>
      </c>
      <c r="K50" s="153"/>
      <c r="L50" s="172"/>
      <c r="M50" s="42">
        <f>ROUND((J50*1.02),0)</f>
        <v>0</v>
      </c>
      <c r="N50" s="163"/>
      <c r="O50" s="143"/>
      <c r="P50" s="42">
        <f>ROUND((M50*1.02),0)</f>
        <v>0</v>
      </c>
      <c r="Q50" s="163"/>
      <c r="R50" s="143"/>
      <c r="S50" s="42">
        <f>SUM(J50:R50)</f>
        <v>0</v>
      </c>
      <c r="T50" s="5"/>
    </row>
    <row r="51" spans="1:20" s="31" customFormat="1" ht="15.75">
      <c r="A51" s="21"/>
      <c r="B51" s="21"/>
      <c r="C51" s="27" t="s">
        <v>32</v>
      </c>
      <c r="D51" s="28"/>
      <c r="E51" s="28"/>
      <c r="F51" s="28"/>
      <c r="G51" s="28"/>
      <c r="H51" s="28"/>
      <c r="I51" s="28"/>
      <c r="J51" s="53">
        <f>SUM(J49:J50)</f>
        <v>0</v>
      </c>
      <c r="K51" s="155"/>
      <c r="L51" s="174"/>
      <c r="M51" s="55">
        <f>SUM(M49:M50)</f>
        <v>0</v>
      </c>
      <c r="N51" s="155"/>
      <c r="O51" s="48"/>
      <c r="P51" s="55">
        <f>SUM(P49:P50)</f>
        <v>0</v>
      </c>
      <c r="Q51" s="155"/>
      <c r="R51" s="48"/>
      <c r="S51" s="55">
        <f>SUM(J51:R51)</f>
        <v>0</v>
      </c>
      <c r="T51" s="29"/>
    </row>
    <row r="52" spans="1:20" ht="15.75">
      <c r="A52" s="22" t="s">
        <v>33</v>
      </c>
      <c r="B52" s="22" t="s">
        <v>34</v>
      </c>
      <c r="C52" s="21"/>
      <c r="D52" s="21"/>
      <c r="E52" s="21"/>
      <c r="F52" s="21"/>
      <c r="G52" s="1"/>
      <c r="H52" s="1"/>
      <c r="I52" s="1"/>
      <c r="J52" s="54" t="s">
        <v>1</v>
      </c>
      <c r="K52" s="153"/>
      <c r="L52" s="172"/>
      <c r="M52" s="42" t="s">
        <v>1</v>
      </c>
      <c r="N52" s="153"/>
      <c r="O52" s="50"/>
      <c r="P52" s="42" t="s">
        <v>1</v>
      </c>
      <c r="Q52" s="153"/>
      <c r="R52" s="50"/>
      <c r="S52" s="42"/>
      <c r="T52" s="5"/>
    </row>
    <row r="53" spans="1:20" ht="15.75">
      <c r="A53" s="21"/>
      <c r="B53" s="21"/>
      <c r="C53" s="13" t="s">
        <v>35</v>
      </c>
      <c r="D53" s="3"/>
      <c r="E53" s="31"/>
      <c r="F53" s="31"/>
      <c r="J53" s="42">
        <v>0</v>
      </c>
      <c r="K53" s="153"/>
      <c r="L53" s="172"/>
      <c r="M53" s="42">
        <f>ROUND((J53*1.02),0)</f>
        <v>0</v>
      </c>
      <c r="N53" s="163"/>
      <c r="O53" s="143"/>
      <c r="P53" s="42">
        <f>ROUND((M53*1.02),0)</f>
        <v>0</v>
      </c>
      <c r="Q53" s="163"/>
      <c r="R53" s="143"/>
      <c r="S53" s="42">
        <f aca="true" t="shared" si="9" ref="S53:S64">SUM(J53:R53)</f>
        <v>0</v>
      </c>
      <c r="T53" s="5"/>
    </row>
    <row r="54" spans="1:20" ht="15.75">
      <c r="A54" s="21"/>
      <c r="B54" s="21"/>
      <c r="C54" s="13" t="s">
        <v>36</v>
      </c>
      <c r="D54" s="3"/>
      <c r="E54" s="31"/>
      <c r="F54" s="31"/>
      <c r="J54" s="42">
        <v>0</v>
      </c>
      <c r="K54" s="153"/>
      <c r="L54" s="172"/>
      <c r="M54" s="42">
        <f aca="true" t="shared" si="10" ref="M54:M59">ROUND((J54*1.02),0)</f>
        <v>0</v>
      </c>
      <c r="N54" s="163"/>
      <c r="O54" s="143"/>
      <c r="P54" s="42">
        <f aca="true" t="shared" si="11" ref="P54:P59">ROUND((M54*1.02),0)</f>
        <v>0</v>
      </c>
      <c r="Q54" s="163"/>
      <c r="R54" s="143"/>
      <c r="S54" s="42">
        <f t="shared" si="9"/>
        <v>0</v>
      </c>
      <c r="T54" s="5"/>
    </row>
    <row r="55" spans="1:20" ht="15.75">
      <c r="A55" s="21"/>
      <c r="B55" s="21"/>
      <c r="C55" s="13" t="s">
        <v>37</v>
      </c>
      <c r="D55" s="3"/>
      <c r="E55" s="31"/>
      <c r="F55" s="31"/>
      <c r="J55" s="42">
        <v>0</v>
      </c>
      <c r="K55" s="153"/>
      <c r="L55" s="172"/>
      <c r="M55" s="42">
        <f t="shared" si="10"/>
        <v>0</v>
      </c>
      <c r="N55" s="163"/>
      <c r="O55" s="143"/>
      <c r="P55" s="42">
        <f t="shared" si="11"/>
        <v>0</v>
      </c>
      <c r="Q55" s="164"/>
      <c r="R55" s="42"/>
      <c r="S55" s="42">
        <f t="shared" si="9"/>
        <v>0</v>
      </c>
      <c r="T55" s="5"/>
    </row>
    <row r="56" spans="1:20" ht="15.75">
      <c r="A56" s="21"/>
      <c r="B56" s="21"/>
      <c r="C56" s="13" t="s">
        <v>277</v>
      </c>
      <c r="D56" s="3"/>
      <c r="E56" s="31"/>
      <c r="F56" s="31"/>
      <c r="J56" s="42">
        <v>0</v>
      </c>
      <c r="K56" s="153"/>
      <c r="L56" s="172"/>
      <c r="M56" s="42">
        <f t="shared" si="10"/>
        <v>0</v>
      </c>
      <c r="N56" s="163"/>
      <c r="O56" s="143"/>
      <c r="P56" s="42">
        <f t="shared" si="11"/>
        <v>0</v>
      </c>
      <c r="Q56" s="163"/>
      <c r="R56" s="143"/>
      <c r="S56" s="42">
        <f t="shared" si="9"/>
        <v>0</v>
      </c>
      <c r="T56" s="5"/>
    </row>
    <row r="57" spans="1:20" ht="15.75">
      <c r="A57" s="21"/>
      <c r="B57" s="21"/>
      <c r="C57" s="225" t="s">
        <v>100</v>
      </c>
      <c r="D57" s="3"/>
      <c r="E57" s="31"/>
      <c r="F57" s="31"/>
      <c r="J57" s="42">
        <v>0</v>
      </c>
      <c r="K57" s="153"/>
      <c r="L57" s="172"/>
      <c r="M57" s="42">
        <f t="shared" si="10"/>
        <v>0</v>
      </c>
      <c r="N57" s="163"/>
      <c r="O57" s="143"/>
      <c r="P57" s="42">
        <f t="shared" si="11"/>
        <v>0</v>
      </c>
      <c r="Q57" s="163"/>
      <c r="R57" s="143"/>
      <c r="S57" s="42">
        <f t="shared" si="9"/>
        <v>0</v>
      </c>
      <c r="T57" s="5"/>
    </row>
    <row r="58" spans="1:20" ht="15.75">
      <c r="A58" s="21"/>
      <c r="B58" s="21"/>
      <c r="C58" s="13" t="s">
        <v>276</v>
      </c>
      <c r="D58" s="3"/>
      <c r="E58" s="31"/>
      <c r="F58" s="31"/>
      <c r="J58" s="42">
        <v>0</v>
      </c>
      <c r="K58" s="153"/>
      <c r="L58" s="172"/>
      <c r="M58" s="42">
        <f t="shared" si="10"/>
        <v>0</v>
      </c>
      <c r="N58" s="164"/>
      <c r="O58" s="42"/>
      <c r="P58" s="42">
        <f t="shared" si="11"/>
        <v>0</v>
      </c>
      <c r="Q58" s="164"/>
      <c r="R58" s="42"/>
      <c r="S58" s="42">
        <f t="shared" si="9"/>
        <v>0</v>
      </c>
      <c r="T58" s="5"/>
    </row>
    <row r="59" spans="1:20" ht="15.75">
      <c r="A59" s="21"/>
      <c r="B59" s="21"/>
      <c r="C59" s="13" t="s">
        <v>38</v>
      </c>
      <c r="D59" s="21"/>
      <c r="E59" s="21"/>
      <c r="F59" s="21"/>
      <c r="G59" s="1"/>
      <c r="H59" s="1"/>
      <c r="I59" s="1"/>
      <c r="J59" s="42">
        <v>0</v>
      </c>
      <c r="K59" s="153"/>
      <c r="L59" s="172"/>
      <c r="M59" s="42">
        <f t="shared" si="10"/>
        <v>0</v>
      </c>
      <c r="N59" s="164"/>
      <c r="O59" s="42"/>
      <c r="P59" s="42">
        <f t="shared" si="11"/>
        <v>0</v>
      </c>
      <c r="Q59" s="164"/>
      <c r="R59" s="42"/>
      <c r="S59" s="42">
        <f t="shared" si="9"/>
        <v>0</v>
      </c>
      <c r="T59" s="5"/>
    </row>
    <row r="60" spans="1:21" ht="15.75">
      <c r="A60" s="21"/>
      <c r="B60" s="21"/>
      <c r="C60" s="22" t="s">
        <v>39</v>
      </c>
      <c r="D60" s="10"/>
      <c r="E60" s="31"/>
      <c r="F60" s="31"/>
      <c r="J60" s="42">
        <v>0</v>
      </c>
      <c r="K60" s="153"/>
      <c r="L60" s="172"/>
      <c r="M60" s="42">
        <v>0</v>
      </c>
      <c r="N60" s="163"/>
      <c r="O60" s="143"/>
      <c r="P60" s="42">
        <v>0</v>
      </c>
      <c r="Q60" s="163"/>
      <c r="R60" s="143"/>
      <c r="S60" s="42">
        <f t="shared" si="9"/>
        <v>0</v>
      </c>
      <c r="T60" s="5"/>
      <c r="U60" s="76"/>
    </row>
    <row r="61" spans="1:21" ht="15.75">
      <c r="A61" s="21"/>
      <c r="B61" s="21"/>
      <c r="C61" s="63" t="s">
        <v>40</v>
      </c>
      <c r="D61" s="10"/>
      <c r="E61" s="31"/>
      <c r="F61" s="31"/>
      <c r="J61" s="42">
        <v>0</v>
      </c>
      <c r="K61" s="153"/>
      <c r="L61" s="172"/>
      <c r="M61" s="42">
        <v>0</v>
      </c>
      <c r="N61" s="163"/>
      <c r="O61" s="143"/>
      <c r="P61" s="42">
        <v>0</v>
      </c>
      <c r="Q61" s="163"/>
      <c r="R61" s="143"/>
      <c r="S61" s="42">
        <f t="shared" si="9"/>
        <v>0</v>
      </c>
      <c r="T61" s="5"/>
      <c r="U61" s="76"/>
    </row>
    <row r="62" spans="1:21" ht="15.75">
      <c r="A62" s="21"/>
      <c r="B62" s="21"/>
      <c r="C62" s="63" t="s">
        <v>93</v>
      </c>
      <c r="D62" s="10"/>
      <c r="E62" s="31"/>
      <c r="F62" s="31"/>
      <c r="J62" s="42">
        <v>0</v>
      </c>
      <c r="K62" s="153"/>
      <c r="L62" s="172"/>
      <c r="M62" s="42">
        <v>0</v>
      </c>
      <c r="N62" s="163"/>
      <c r="O62" s="143"/>
      <c r="P62" s="42">
        <v>0</v>
      </c>
      <c r="Q62" s="163"/>
      <c r="R62" s="143"/>
      <c r="S62" s="42">
        <f t="shared" si="9"/>
        <v>0</v>
      </c>
      <c r="T62" s="5"/>
      <c r="U62" s="76"/>
    </row>
    <row r="63" spans="1:21" ht="15.75">
      <c r="A63" s="21"/>
      <c r="B63" s="21"/>
      <c r="C63" s="63" t="s">
        <v>94</v>
      </c>
      <c r="D63" s="10"/>
      <c r="E63" s="31"/>
      <c r="F63" s="31"/>
      <c r="J63" s="42">
        <v>0</v>
      </c>
      <c r="K63" s="153"/>
      <c r="L63" s="172"/>
      <c r="M63" s="42">
        <v>0</v>
      </c>
      <c r="N63" s="163"/>
      <c r="O63" s="143"/>
      <c r="P63" s="42">
        <v>0</v>
      </c>
      <c r="Q63" s="163"/>
      <c r="R63" s="143"/>
      <c r="S63" s="42">
        <f t="shared" si="9"/>
        <v>0</v>
      </c>
      <c r="T63" s="5"/>
      <c r="U63" s="76"/>
    </row>
    <row r="64" spans="1:21" ht="15.75">
      <c r="A64" s="40" t="s">
        <v>41</v>
      </c>
      <c r="D64" s="28"/>
      <c r="E64" s="28"/>
      <c r="F64" s="28"/>
      <c r="G64" s="28"/>
      <c r="H64" s="28"/>
      <c r="I64" s="28"/>
      <c r="J64" s="51">
        <f>SUM(J53:J63)</f>
        <v>0</v>
      </c>
      <c r="K64" s="156"/>
      <c r="L64" s="175"/>
      <c r="M64" s="43">
        <f>SUM(M53:M63)</f>
        <v>0</v>
      </c>
      <c r="N64" s="156"/>
      <c r="O64" s="44"/>
      <c r="P64" s="43">
        <f>SUM(P53:P63)</f>
        <v>0</v>
      </c>
      <c r="Q64" s="156"/>
      <c r="R64" s="44"/>
      <c r="S64" s="43">
        <f t="shared" si="9"/>
        <v>0</v>
      </c>
      <c r="T64" s="34"/>
      <c r="U64" s="76"/>
    </row>
    <row r="65" spans="1:20" ht="7.5" customHeight="1">
      <c r="A65" s="21"/>
      <c r="B65" s="21"/>
      <c r="C65" s="26"/>
      <c r="D65" s="28"/>
      <c r="E65" s="28"/>
      <c r="F65" s="28"/>
      <c r="G65" s="26"/>
      <c r="H65" s="26"/>
      <c r="I65" s="26"/>
      <c r="J65" s="52"/>
      <c r="K65" s="152"/>
      <c r="L65" s="171"/>
      <c r="M65" s="46"/>
      <c r="N65" s="152"/>
      <c r="O65" s="46"/>
      <c r="P65" s="46"/>
      <c r="Q65" s="152"/>
      <c r="R65" s="46"/>
      <c r="S65" s="46" t="s">
        <v>1</v>
      </c>
      <c r="T65" s="6"/>
    </row>
    <row r="66" spans="1:20" ht="16.5">
      <c r="A66" s="28"/>
      <c r="B66" s="28"/>
      <c r="C66" s="28"/>
      <c r="D66" s="21"/>
      <c r="E66" s="32" t="s">
        <v>42</v>
      </c>
      <c r="F66" s="32"/>
      <c r="G66" s="39"/>
      <c r="H66" s="39"/>
      <c r="I66" s="39"/>
      <c r="J66" s="65">
        <f>ROUND(+J64+J51+J46+J41,0)</f>
        <v>0</v>
      </c>
      <c r="K66" s="157"/>
      <c r="L66" s="176"/>
      <c r="M66" s="65">
        <f>ROUND(+M64+M51+M46+M41,0)</f>
        <v>0</v>
      </c>
      <c r="N66" s="157"/>
      <c r="O66" s="65"/>
      <c r="P66" s="65">
        <f>ROUND(+P64+P51+P46+P41,0)</f>
        <v>0</v>
      </c>
      <c r="Q66" s="157"/>
      <c r="R66" s="65"/>
      <c r="S66" s="65">
        <f>SUM(J66:R66)</f>
        <v>0</v>
      </c>
      <c r="T66" s="34"/>
    </row>
    <row r="67" spans="1:19" ht="7.5" customHeight="1">
      <c r="A67" s="28"/>
      <c r="B67" s="28"/>
      <c r="C67" s="28"/>
      <c r="D67" s="21"/>
      <c r="E67" s="32"/>
      <c r="F67" s="32"/>
      <c r="G67" s="39"/>
      <c r="H67" s="39"/>
      <c r="I67" s="39"/>
      <c r="J67" s="66"/>
      <c r="K67" s="157"/>
      <c r="L67" s="176"/>
      <c r="M67" s="65"/>
      <c r="N67" s="165"/>
      <c r="O67" s="190"/>
      <c r="P67" s="65"/>
      <c r="Q67" s="165"/>
      <c r="R67" s="190"/>
      <c r="S67" s="65"/>
    </row>
    <row r="68" spans="1:21" ht="15.75">
      <c r="A68" s="28"/>
      <c r="B68" s="28"/>
      <c r="C68" s="28"/>
      <c r="D68" s="21"/>
      <c r="G68" s="39"/>
      <c r="H68" s="92" t="s">
        <v>115</v>
      </c>
      <c r="I68" s="39"/>
      <c r="J68" s="74">
        <f>(IF((J60)&gt;25000,(25000),J60)+((IF((J61)&gt;25000,(25000),J61))+((IF((J62)&gt;25000,(25000),J62))+((IF((J63)&gt;25000,(25000),J63))+SUM(J66-J46-J57-J60-J61-J62-J63)))))</f>
        <v>0</v>
      </c>
      <c r="K68" s="158"/>
      <c r="L68" s="177"/>
      <c r="M68" s="74">
        <f>IF(J60&gt;=(25000),0,((IF((J60+M60)&lt;=(25000),M60,(25000-J60)))))+IF(J61&gt;=(25000),0,((IF((J61+M61)&lt;=(25000),M61,(25000-J61)))))+IF(J62&gt;=(25000),0,((IF((J62+M62)&lt;=(25000),M62,(25000-J62)))))+IF(J63&gt;=(25000),0,((IF((J63+M63)&lt;=(25000),M63,(25000-J63)))))+SUM(M66-M46-M57-M60-M61-M62-M63)</f>
        <v>0</v>
      </c>
      <c r="N68" s="158"/>
      <c r="O68" s="191"/>
      <c r="P68" s="74">
        <f>IF(J60&gt;=(25000),0,(((IF((J60+M60)&gt;=(25000),0,((IF((J60+M60+P60)&lt;=(25000),P60,(25000-SUM(J60+M60))))))))))+IF(J61&gt;=(25000),0,(((IF((J61+M61)&gt;=(25000),0,((IF((J61+M61+P61)&lt;(25000),P61,(25000-SUM(J61+M61))))))))))+IF(J62&gt;=(25000),0,(((IF((J62+M62)&gt;=(25000),0,((IF((J62+M62+P62)&lt;(25000),P62,(25000-SUM(J62+M62))))))))))+IF(J63&gt;=(25000),0,(((IF((J63+M63)&gt;=(25000),0,((IF((J63+M63+P63)&lt;(25000),P63,(25000-SUM(J63+M63))))))))))+SUM(P66-P46-P57-P60-P61-P62-P63)</f>
        <v>0</v>
      </c>
      <c r="Q68" s="158"/>
      <c r="R68" s="191"/>
      <c r="S68" s="74">
        <f>SUM(J68:R68)</f>
        <v>0</v>
      </c>
      <c r="U68" s="76"/>
    </row>
    <row r="69" spans="1:22" ht="15.75">
      <c r="A69" s="33" t="s">
        <v>114</v>
      </c>
      <c r="B69" s="1"/>
      <c r="C69" s="1"/>
      <c r="J69" s="42"/>
      <c r="K69" s="159"/>
      <c r="L69" s="178"/>
      <c r="M69" s="50"/>
      <c r="N69" s="159"/>
      <c r="O69" s="56"/>
      <c r="P69" s="50"/>
      <c r="Q69" s="159"/>
      <c r="R69" s="56"/>
      <c r="S69" s="50"/>
      <c r="T69" s="5"/>
      <c r="V69" s="75"/>
    </row>
    <row r="70" spans="1:20" ht="15.75">
      <c r="A70" s="13" t="s">
        <v>117</v>
      </c>
      <c r="B70" s="1"/>
      <c r="D70" s="7">
        <f>IF(AND(($E$81)="R",($E$83)="C"),('RATES-Non Fed'!E48),IF(AND(($E$81)="R",($E$83)="O"),('RATES-Non Fed'!E53),IF(AND(($E$81)="I",($E$83)="C"),('RATES-Non Fed'!E49),IF(AND(($E$81)="I",($E$83)="O"),('RATES-Non Fed'!E54),IF(AND(($E$81)="P",($E$83)="C"),('RATES-Non Fed'!E50),IF(AND(($E$81)="P",($E$83)="O"),('RATES-Non Fed'!E55),($E$82)))))))</f>
        <v>0.605</v>
      </c>
      <c r="E70" s="7">
        <f>IF(AND(($E$81)="R",($E$83)="C"),('RATES-Non Fed'!G48),IF(AND(($E$81)="R",($E$83)="O"),('RATES-Non Fed'!G53),IF(AND(($E$81)="I",($E$83)="C"),('RATES-Non Fed'!G49),IF(AND(($E$81)="I",($E$83)="O"),('RATES-Non Fed'!G54),IF(AND(($E$81)="P",($E$83)="C"),('RATES-Non Fed'!G50),IF(AND(($E$81)="P",($E$83)="O"),('RATES-Non Fed'!G55),($E$82)))))))</f>
        <v>0.62</v>
      </c>
      <c r="F70" s="7">
        <f>IF(AND(($E$81)="R",($E$83)="C"),('RATES-Non Fed'!I48),IF(AND(($E$81)="R",($E$83)="O"),('RATES-Non Fed'!I53),IF(AND(($E$81)="I",($E$83)="C"),('RATES-Non Fed'!I49),IF(AND(($E$81)="I",($E$83)="O"),('RATES-Non Fed'!I54),IF(AND(($E$81)="P",($E$83)="C"),('RATES-Non Fed'!I50),IF(AND(($E$81)="P",($E$83)="O"),('RATES-Non Fed'!I55),($E$82)))))))</f>
        <v>0.62</v>
      </c>
      <c r="G70" s="7"/>
      <c r="H70" s="7"/>
      <c r="J70" s="50">
        <f>ROUND(+D70*(J66-J46-J60-J61-J62-J63-J57),0)</f>
        <v>0</v>
      </c>
      <c r="K70" s="153"/>
      <c r="L70" s="172"/>
      <c r="M70" s="50">
        <f>ROUND(+E70*(M66-M46-M60-M61-M62-M63-M57),0)</f>
        <v>0</v>
      </c>
      <c r="N70" s="153"/>
      <c r="O70" s="50"/>
      <c r="P70" s="50">
        <f>ROUND(+F70*(P66-P46-P60-P61-P62-P63-P57),0)</f>
        <v>0</v>
      </c>
      <c r="Q70" s="153"/>
      <c r="R70" s="50"/>
      <c r="S70" s="50">
        <f aca="true" t="shared" si="12" ref="S70:S75">SUM(J70:R70)</f>
        <v>0</v>
      </c>
      <c r="T70" s="5"/>
    </row>
    <row r="71" spans="1:20" ht="15.75">
      <c r="A71" s="13" t="s">
        <v>43</v>
      </c>
      <c r="D71" s="7">
        <f aca="true" t="shared" si="13" ref="D71:F73">+D70</f>
        <v>0.605</v>
      </c>
      <c r="E71" s="7">
        <f t="shared" si="13"/>
        <v>0.62</v>
      </c>
      <c r="F71" s="7">
        <f t="shared" si="13"/>
        <v>0.62</v>
      </c>
      <c r="G71" s="7"/>
      <c r="H71" s="7"/>
      <c r="J71" s="50">
        <f>(IF((J60)&gt;25000,(25000),J60)*D71)</f>
        <v>0</v>
      </c>
      <c r="K71" s="50"/>
      <c r="L71" s="50"/>
      <c r="M71" s="50">
        <f>IF(J60&gt;=(25000),0,((IF((J60+M60)&lt;=(25000),M60,(25000-J60))))*E71)</f>
        <v>0</v>
      </c>
      <c r="N71" s="261"/>
      <c r="O71" s="50"/>
      <c r="P71" s="50">
        <f>IF(J60&gt;=(25000),0,(((IF((J60+M60)&gt;=(25000),0,((IF((J60+M60+P60)&lt;=(25000),P60,(25000-SUM(J60+M60)))))))))*F71)</f>
        <v>0</v>
      </c>
      <c r="Q71" s="153"/>
      <c r="R71" s="50"/>
      <c r="S71" s="50">
        <f t="shared" si="12"/>
        <v>0</v>
      </c>
      <c r="T71" s="5"/>
    </row>
    <row r="72" spans="1:20" ht="15.75">
      <c r="A72" s="13" t="s">
        <v>44</v>
      </c>
      <c r="D72" s="7">
        <f t="shared" si="13"/>
        <v>0.605</v>
      </c>
      <c r="E72" s="7">
        <f t="shared" si="13"/>
        <v>0.62</v>
      </c>
      <c r="F72" s="7">
        <f t="shared" si="13"/>
        <v>0.62</v>
      </c>
      <c r="G72" s="7"/>
      <c r="H72" s="7"/>
      <c r="J72" s="50">
        <f>(IF((J61)&gt;25000,(25000),J61)*D72)</f>
        <v>0</v>
      </c>
      <c r="K72" s="261"/>
      <c r="L72" s="172"/>
      <c r="M72" s="50">
        <f>IF(J61&gt;=(25000),0,((IF((J61+M61)&lt;=(25000),M61,(25000-J61))))*E72)</f>
        <v>0</v>
      </c>
      <c r="N72" s="261"/>
      <c r="O72" s="50"/>
      <c r="P72" s="50">
        <f>IF(J61&gt;=(25000),0,(((IF((J61+M61)&gt;=(25000),0,((IF((J61+M61+P61)&lt;=(25000),P61,(25000-SUM(J61+M61)))))))))*F72)</f>
        <v>0</v>
      </c>
      <c r="Q72" s="153"/>
      <c r="R72" s="50"/>
      <c r="S72" s="50">
        <f>SUM(J72:R72)</f>
        <v>0</v>
      </c>
      <c r="T72" s="5"/>
    </row>
    <row r="73" spans="1:20" ht="15.75">
      <c r="A73" s="13" t="s">
        <v>91</v>
      </c>
      <c r="D73" s="7">
        <f t="shared" si="13"/>
        <v>0.605</v>
      </c>
      <c r="E73" s="7">
        <f t="shared" si="13"/>
        <v>0.62</v>
      </c>
      <c r="F73" s="7">
        <f t="shared" si="13"/>
        <v>0.62</v>
      </c>
      <c r="G73" s="7"/>
      <c r="H73" s="7"/>
      <c r="J73" s="50">
        <f>(IF((J62)&gt;25000,(25000),J62)*D73)</f>
        <v>0</v>
      </c>
      <c r="K73" s="261"/>
      <c r="L73" s="172"/>
      <c r="M73" s="50">
        <f>IF(J62&gt;=(25000),0,((IF((J62+M62)&lt;=(25000),M62,(25000-J62))))*E73)</f>
        <v>0</v>
      </c>
      <c r="N73" s="261"/>
      <c r="O73" s="50"/>
      <c r="P73" s="50">
        <f>IF(J62&gt;=(25000),0,(((IF((J62+M62)&gt;=(25000),0,((IF((J62+M62+P62)&lt;=(25000),P62,(25000-SUM(J62+M62)))))))))*F73)</f>
        <v>0</v>
      </c>
      <c r="Q73" s="153"/>
      <c r="R73" s="50"/>
      <c r="S73" s="50">
        <f t="shared" si="12"/>
        <v>0</v>
      </c>
      <c r="T73" s="5"/>
    </row>
    <row r="74" spans="1:20" ht="15.75">
      <c r="A74" s="13" t="s">
        <v>92</v>
      </c>
      <c r="B74" s="1"/>
      <c r="C74" s="1"/>
      <c r="D74" s="7">
        <f>+D71</f>
        <v>0.605</v>
      </c>
      <c r="E74" s="7">
        <f>+E71</f>
        <v>0.62</v>
      </c>
      <c r="F74" s="7">
        <f>+F71</f>
        <v>0.62</v>
      </c>
      <c r="G74" s="7"/>
      <c r="H74" s="7"/>
      <c r="J74" s="50">
        <f>(IF((J63)&gt;25000,(25000),J63)*D74)</f>
        <v>0</v>
      </c>
      <c r="K74" s="261"/>
      <c r="L74" s="172"/>
      <c r="M74" s="50">
        <f>IF(J63&gt;=(25000),0,((IF((J63+M63)&lt;=(25000),M63,(25000-J63))))*E74)</f>
        <v>0</v>
      </c>
      <c r="N74" s="261"/>
      <c r="O74" s="50"/>
      <c r="P74" s="50">
        <f>IF(J63&gt;=(25000),0,(((IF((J63+M63)&gt;=(25000),0,((IF((J63+M63+P63)&lt;=(25000),P63,(25000-SUM(J63+M63)))))))))*F74)</f>
        <v>0</v>
      </c>
      <c r="Q74" s="153"/>
      <c r="R74" s="50"/>
      <c r="S74" s="50">
        <f t="shared" si="12"/>
        <v>0</v>
      </c>
      <c r="T74" s="5"/>
    </row>
    <row r="75" spans="1:20" ht="15.75">
      <c r="A75" s="40" t="s">
        <v>116</v>
      </c>
      <c r="B75" s="1"/>
      <c r="C75" s="24"/>
      <c r="D75" s="35"/>
      <c r="E75" s="7"/>
      <c r="F75" s="7"/>
      <c r="G75" s="7"/>
      <c r="H75" s="7"/>
      <c r="I75" s="7"/>
      <c r="J75" s="53">
        <f>SUM(J70:J74)</f>
        <v>0</v>
      </c>
      <c r="K75" s="156"/>
      <c r="L75" s="175"/>
      <c r="M75" s="53">
        <f>SUM(M70:M74)</f>
        <v>0</v>
      </c>
      <c r="N75" s="156"/>
      <c r="O75" s="44"/>
      <c r="P75" s="53">
        <f>SUM(P70:P74)</f>
        <v>0</v>
      </c>
      <c r="Q75" s="156"/>
      <c r="R75" s="44"/>
      <c r="S75" s="53">
        <f t="shared" si="12"/>
        <v>0</v>
      </c>
      <c r="T75" s="5"/>
    </row>
    <row r="76" spans="1:20" ht="6.75" customHeight="1">
      <c r="A76" s="40"/>
      <c r="B76" s="1"/>
      <c r="C76" s="24"/>
      <c r="D76" s="35"/>
      <c r="E76" s="7"/>
      <c r="F76" s="7"/>
      <c r="G76" s="7"/>
      <c r="H76" s="7"/>
      <c r="I76" s="7"/>
      <c r="J76" s="61"/>
      <c r="K76" s="156"/>
      <c r="L76" s="175"/>
      <c r="M76" s="62"/>
      <c r="N76" s="156"/>
      <c r="O76" s="44"/>
      <c r="P76" s="62"/>
      <c r="Q76" s="156"/>
      <c r="R76" s="44"/>
      <c r="S76" s="62"/>
      <c r="T76" s="5"/>
    </row>
    <row r="77" spans="1:20" ht="19.5" thickBot="1">
      <c r="A77" s="40"/>
      <c r="B77" s="1"/>
      <c r="C77" s="60" t="s">
        <v>45</v>
      </c>
      <c r="D77" s="35"/>
      <c r="E77" s="7"/>
      <c r="F77" s="7"/>
      <c r="G77" s="7"/>
      <c r="H77" s="7"/>
      <c r="I77" s="7"/>
      <c r="J77" s="72">
        <f>J75+J66</f>
        <v>0</v>
      </c>
      <c r="K77" s="157"/>
      <c r="L77" s="176"/>
      <c r="M77" s="72">
        <f>M75+M66</f>
        <v>0</v>
      </c>
      <c r="N77" s="157"/>
      <c r="O77" s="65"/>
      <c r="P77" s="72">
        <f>P75+P66</f>
        <v>0</v>
      </c>
      <c r="Q77" s="157"/>
      <c r="R77" s="65"/>
      <c r="S77" s="72">
        <f>SUM(J77:R77)</f>
        <v>0</v>
      </c>
      <c r="T77" s="5"/>
    </row>
    <row r="78" spans="1:20" ht="8.25" customHeight="1" thickTop="1">
      <c r="A78" s="28"/>
      <c r="B78" s="1"/>
      <c r="C78" s="35"/>
      <c r="D78" s="7"/>
      <c r="E78" s="7"/>
      <c r="F78" s="7"/>
      <c r="G78" s="7"/>
      <c r="H78" s="7"/>
      <c r="I78" s="7"/>
      <c r="J78" s="50"/>
      <c r="K78" s="153"/>
      <c r="L78" s="172"/>
      <c r="M78" s="50"/>
      <c r="N78" s="153"/>
      <c r="O78" s="50"/>
      <c r="P78" s="50"/>
      <c r="Q78" s="153"/>
      <c r="R78" s="50"/>
      <c r="S78" s="50" t="s">
        <v>1</v>
      </c>
      <c r="T78" s="5"/>
    </row>
    <row r="79" spans="1:20" ht="9" customHeight="1">
      <c r="A79" s="1"/>
      <c r="B79" s="1"/>
      <c r="C79" s="1"/>
      <c r="D79" s="1"/>
      <c r="E79" s="1"/>
      <c r="F79" s="1"/>
      <c r="G79" s="1"/>
      <c r="H79" s="1"/>
      <c r="I79" s="1"/>
      <c r="J79" s="49"/>
      <c r="K79" s="160"/>
      <c r="L79" s="179"/>
      <c r="M79" s="58"/>
      <c r="N79" s="160"/>
      <c r="O79" s="57"/>
      <c r="P79" s="58"/>
      <c r="Q79" s="160"/>
      <c r="R79" s="57"/>
      <c r="S79" s="58"/>
      <c r="T79" s="1"/>
    </row>
    <row r="80" ht="15.75">
      <c r="C80" s="36" t="s">
        <v>118</v>
      </c>
    </row>
    <row r="81" spans="3:7" ht="15.75">
      <c r="C81" s="14" t="s">
        <v>46</v>
      </c>
      <c r="E81" s="15" t="s">
        <v>47</v>
      </c>
      <c r="G81" s="14" t="s">
        <v>48</v>
      </c>
    </row>
    <row r="82" spans="3:6" ht="15.75">
      <c r="C82" s="14" t="s">
        <v>175</v>
      </c>
      <c r="E82" s="9">
        <v>0.1</v>
      </c>
      <c r="F82" s="9"/>
    </row>
    <row r="83" spans="3:7" ht="15.75">
      <c r="C83" s="14" t="s">
        <v>49</v>
      </c>
      <c r="E83" s="167" t="s">
        <v>50</v>
      </c>
      <c r="G83" s="14" t="s">
        <v>51</v>
      </c>
    </row>
    <row r="85" spans="4:16" ht="15.75">
      <c r="D85" s="214" t="s">
        <v>197</v>
      </c>
      <c r="H85" s="212">
        <f>+'RATES-Non Fed'!E31</f>
        <v>0.605</v>
      </c>
      <c r="J85" s="211">
        <f>J75/12*'RATES-Non Fed'!$C$48</f>
        <v>0</v>
      </c>
      <c r="L85" s="212">
        <f>+'RATES-Non Fed'!G31</f>
        <v>0.62</v>
      </c>
      <c r="M85" s="211">
        <f>M75/12*'RATES-Non Fed'!$C$48</f>
        <v>0</v>
      </c>
      <c r="O85" s="213">
        <f>+'RATES-Non Fed'!I31</f>
        <v>0.62</v>
      </c>
      <c r="P85" s="211">
        <f>P75/12*'RATES-Non Fed'!$C$48</f>
        <v>0</v>
      </c>
    </row>
    <row r="86" spans="4:16" ht="15.75">
      <c r="D86" s="314" t="s">
        <v>198</v>
      </c>
      <c r="E86" s="314"/>
      <c r="F86" s="314"/>
      <c r="G86" s="314"/>
      <c r="H86" s="212">
        <f>+'RATES-Non Fed'!G31</f>
        <v>0.62</v>
      </c>
      <c r="J86" s="211">
        <f>J75/12*'RATES-Non Fed'!$D$48</f>
        <v>0</v>
      </c>
      <c r="L86" s="212">
        <f>+'RATES-Non Fed'!I31</f>
        <v>0.62</v>
      </c>
      <c r="M86" s="211">
        <f>M75/12*'RATES-Non Fed'!$D$48</f>
        <v>0</v>
      </c>
      <c r="O86" s="213">
        <f>+'RATES-Non Fed'!K31</f>
        <v>0.62</v>
      </c>
      <c r="P86" s="211">
        <f>P75/12*'RATES-Non Fed'!$D$48</f>
        <v>0</v>
      </c>
    </row>
    <row r="87" spans="4:19" ht="18.75">
      <c r="D87" s="314"/>
      <c r="E87" s="314"/>
      <c r="F87" s="314"/>
      <c r="G87" s="314"/>
      <c r="J87" s="211">
        <f>SUM(J85:J86)</f>
        <v>0</v>
      </c>
      <c r="M87" s="211">
        <f>SUM(M85:M86)</f>
        <v>0</v>
      </c>
      <c r="P87" s="211">
        <f>SUM(P85:P86)</f>
        <v>0</v>
      </c>
      <c r="Q87" s="325">
        <f>'RATES-Non Fed'!Q69</f>
        <v>0</v>
      </c>
      <c r="R87" s="325"/>
      <c r="S87" s="325"/>
    </row>
  </sheetData>
  <sheetProtection/>
  <mergeCells count="6">
    <mergeCell ref="K4:R5"/>
    <mergeCell ref="J8:L8"/>
    <mergeCell ref="M8:O8"/>
    <mergeCell ref="P8:R8"/>
    <mergeCell ref="Q87:S87"/>
    <mergeCell ref="D86:G87"/>
  </mergeCells>
  <dataValidations count="1">
    <dataValidation type="list" allowBlank="1" showInputMessage="1" showErrorMessage="1" sqref="D11 D17:D18 D13 D15 D21:D24">
      <formula1>APPTS</formula1>
    </dataValidation>
  </dataValidations>
  <hyperlinks>
    <hyperlink ref="C57" r:id="rId1" display="UC Tuition rates (Not Subject to Indirect)"/>
  </hyperlinks>
  <printOptions/>
  <pageMargins left="0.5" right="0.3" top="0.5" bottom="0.5" header="0.5" footer="0.5"/>
  <pageSetup fitToHeight="1" fitToWidth="1" horizontalDpi="300" verticalDpi="300" orientation="landscape" scale="40" r:id="rId4"/>
  <legacyDrawing r:id="rId3"/>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Y88"/>
  <sheetViews>
    <sheetView showGridLines="0" zoomScale="75" zoomScaleNormal="75" workbookViewId="0" topLeftCell="A11">
      <selection activeCell="O33" sqref="O33"/>
    </sheetView>
  </sheetViews>
  <sheetFormatPr defaultColWidth="9.625" defaultRowHeight="15.75"/>
  <cols>
    <col min="1" max="2" width="2.625" style="0" customWidth="1"/>
    <col min="3" max="3" width="20.50390625" style="0" customWidth="1"/>
    <col min="4" max="4" width="16.125" style="0" customWidth="1"/>
    <col min="5" max="5" width="10.25390625" style="0"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8.125" style="161" customWidth="1"/>
    <col min="12" max="12" width="10.125" style="180" bestFit="1" customWidth="1"/>
    <col min="13" max="13" width="11.25390625" style="0" customWidth="1"/>
    <col min="14" max="14" width="9.25390625" style="161" bestFit="1" customWidth="1"/>
    <col min="15" max="15" width="9.50390625" style="90" bestFit="1" customWidth="1"/>
    <col min="16" max="16" width="11.25390625" style="0" customWidth="1"/>
    <col min="17" max="17" width="9.25390625" style="161" bestFit="1" customWidth="1"/>
    <col min="18" max="18" width="8.75390625" style="90" bestFit="1" customWidth="1"/>
    <col min="19" max="19" width="11.25390625" style="0" customWidth="1"/>
    <col min="20" max="20" width="9.25390625" style="161" bestFit="1" customWidth="1"/>
    <col min="21" max="21" width="8.75390625" style="90" bestFit="1" customWidth="1"/>
    <col min="22" max="22" width="14.625" style="0" customWidth="1"/>
    <col min="23" max="23" width="2.625" style="0" customWidth="1"/>
  </cols>
  <sheetData>
    <row r="1" spans="1:21" ht="18.75">
      <c r="A1" s="17" t="s">
        <v>0</v>
      </c>
      <c r="B1" s="18"/>
      <c r="C1" s="18"/>
      <c r="D1" s="18"/>
      <c r="E1" s="18"/>
      <c r="F1" s="18"/>
      <c r="G1" s="18"/>
      <c r="H1" s="18"/>
      <c r="I1" s="18"/>
      <c r="J1" s="19"/>
      <c r="K1" s="147"/>
      <c r="L1" s="168"/>
      <c r="M1" s="37"/>
      <c r="N1" s="162"/>
      <c r="O1" s="189"/>
      <c r="P1" s="37"/>
      <c r="Q1" s="162"/>
      <c r="R1" s="189"/>
      <c r="S1" s="37"/>
      <c r="T1" s="162"/>
      <c r="U1" s="189"/>
    </row>
    <row r="2" spans="1:22" ht="18.75">
      <c r="A2" s="17" t="s">
        <v>184</v>
      </c>
      <c r="B2" s="18"/>
      <c r="C2" s="18"/>
      <c r="D2" s="18"/>
      <c r="E2" s="18"/>
      <c r="F2" s="18"/>
      <c r="G2" s="18"/>
      <c r="H2" s="18"/>
      <c r="I2" s="18"/>
      <c r="J2" s="19"/>
      <c r="K2" s="147"/>
      <c r="L2" s="168"/>
      <c r="M2" s="37"/>
      <c r="N2" s="162"/>
      <c r="O2" s="189"/>
      <c r="P2" s="37"/>
      <c r="Q2" s="162"/>
      <c r="R2" s="189"/>
      <c r="S2" s="37"/>
      <c r="T2" s="162"/>
      <c r="U2" s="189"/>
      <c r="V2" s="37"/>
    </row>
    <row r="3" spans="1:22" ht="9.75" customHeight="1">
      <c r="A3" s="10" t="s">
        <v>1</v>
      </c>
      <c r="B3" s="1"/>
      <c r="J3" s="11" t="s">
        <v>1</v>
      </c>
      <c r="K3" s="148"/>
      <c r="L3" s="169"/>
      <c r="M3" s="8"/>
      <c r="P3" s="8"/>
      <c r="S3" s="8"/>
      <c r="V3" s="8"/>
    </row>
    <row r="4" spans="1:22" ht="15.75">
      <c r="A4" s="22" t="s">
        <v>2</v>
      </c>
      <c r="B4" s="1"/>
      <c r="D4" s="10" t="s">
        <v>69</v>
      </c>
      <c r="G4" s="3"/>
      <c r="J4" s="20" t="s">
        <v>3</v>
      </c>
      <c r="K4" s="315" t="s">
        <v>69</v>
      </c>
      <c r="L4" s="316"/>
      <c r="M4" s="317"/>
      <c r="N4" s="317"/>
      <c r="O4" s="317"/>
      <c r="P4" s="317"/>
      <c r="Q4" s="317"/>
      <c r="R4" s="317"/>
      <c r="S4" s="317"/>
      <c r="T4" s="317"/>
      <c r="U4" s="318"/>
      <c r="V4" s="8"/>
    </row>
    <row r="5" spans="1:22" ht="18.75">
      <c r="A5" s="22" t="s">
        <v>4</v>
      </c>
      <c r="B5" s="1"/>
      <c r="D5" s="10" t="s">
        <v>69</v>
      </c>
      <c r="E5" s="3"/>
      <c r="F5" s="3"/>
      <c r="H5" s="2"/>
      <c r="I5" s="2"/>
      <c r="J5" s="38"/>
      <c r="K5" s="319"/>
      <c r="L5" s="320"/>
      <c r="M5" s="320"/>
      <c r="N5" s="320"/>
      <c r="O5" s="320"/>
      <c r="P5" s="320"/>
      <c r="Q5" s="320"/>
      <c r="R5" s="320"/>
      <c r="S5" s="320"/>
      <c r="T5" s="320"/>
      <c r="U5" s="321"/>
      <c r="V5" s="8"/>
    </row>
    <row r="6" spans="1:22" ht="15.75">
      <c r="A6" s="14"/>
      <c r="B6" s="22" t="s">
        <v>5</v>
      </c>
      <c r="D6" s="73">
        <f>'RATES-Non Fed'!E2</f>
        <v>44013</v>
      </c>
      <c r="E6" s="12" t="s">
        <v>6</v>
      </c>
      <c r="F6" s="12"/>
      <c r="G6" s="73">
        <f>'RATES-Non Fed'!G2</f>
        <v>46203</v>
      </c>
      <c r="H6" s="4"/>
      <c r="I6" s="4"/>
      <c r="J6" s="2"/>
      <c r="K6" s="149"/>
      <c r="L6" s="170"/>
      <c r="M6" s="3"/>
      <c r="N6" s="149"/>
      <c r="O6" s="144"/>
      <c r="P6" s="3"/>
      <c r="Q6" s="149"/>
      <c r="R6" s="144"/>
      <c r="S6" s="3"/>
      <c r="T6" s="149"/>
      <c r="U6" s="144"/>
      <c r="V6" s="8"/>
    </row>
    <row r="7" spans="5:23" ht="7.5" customHeight="1">
      <c r="E7" s="3"/>
      <c r="F7" s="3"/>
      <c r="G7" s="1"/>
      <c r="H7" s="1"/>
      <c r="I7" s="1"/>
      <c r="J7" s="16" t="s">
        <v>1</v>
      </c>
      <c r="K7" s="148"/>
      <c r="L7" s="169"/>
      <c r="M7" s="8"/>
      <c r="N7" s="148"/>
      <c r="O7" s="138"/>
      <c r="P7" s="8"/>
      <c r="Q7" s="148"/>
      <c r="R7" s="138"/>
      <c r="S7" s="8"/>
      <c r="T7" s="148"/>
      <c r="U7" s="138"/>
      <c r="V7" s="8"/>
      <c r="W7" s="1"/>
    </row>
    <row r="8" spans="1:23" ht="15.75">
      <c r="A8" s="21"/>
      <c r="B8" s="21"/>
      <c r="C8" s="21"/>
      <c r="D8" s="21"/>
      <c r="E8" s="21"/>
      <c r="F8" s="21"/>
      <c r="G8" s="21"/>
      <c r="H8" s="21"/>
      <c r="I8" s="21"/>
      <c r="J8" s="304" t="s">
        <v>21</v>
      </c>
      <c r="K8" s="305"/>
      <c r="L8" s="306"/>
      <c r="M8" s="322" t="s">
        <v>53</v>
      </c>
      <c r="N8" s="323"/>
      <c r="O8" s="324"/>
      <c r="P8" s="322" t="s">
        <v>55</v>
      </c>
      <c r="Q8" s="323"/>
      <c r="R8" s="324"/>
      <c r="S8" s="322" t="s">
        <v>57</v>
      </c>
      <c r="T8" s="323"/>
      <c r="U8" s="324"/>
      <c r="V8" s="166" t="s">
        <v>8</v>
      </c>
      <c r="W8" s="21"/>
    </row>
    <row r="9" spans="1:23" s="142" customFormat="1" ht="15.75">
      <c r="A9" s="140" t="s">
        <v>9</v>
      </c>
      <c r="B9" s="140" t="s">
        <v>10</v>
      </c>
      <c r="C9" s="140"/>
      <c r="D9" s="140"/>
      <c r="E9" s="140"/>
      <c r="F9" s="140"/>
      <c r="G9" s="140"/>
      <c r="H9" s="140"/>
      <c r="I9" s="140"/>
      <c r="J9" s="184" t="s">
        <v>180</v>
      </c>
      <c r="K9" s="150" t="s">
        <v>181</v>
      </c>
      <c r="L9" s="140" t="s">
        <v>182</v>
      </c>
      <c r="M9" s="188" t="s">
        <v>180</v>
      </c>
      <c r="N9" s="150" t="s">
        <v>181</v>
      </c>
      <c r="O9" s="140" t="s">
        <v>182</v>
      </c>
      <c r="P9" s="188" t="s">
        <v>180</v>
      </c>
      <c r="Q9" s="150" t="s">
        <v>181</v>
      </c>
      <c r="R9" s="140" t="s">
        <v>182</v>
      </c>
      <c r="S9" s="188" t="s">
        <v>180</v>
      </c>
      <c r="T9" s="150" t="s">
        <v>181</v>
      </c>
      <c r="U9" s="140" t="s">
        <v>182</v>
      </c>
      <c r="V9" s="141"/>
      <c r="W9" s="140"/>
    </row>
    <row r="10" spans="1:23" ht="15.75">
      <c r="A10" s="1"/>
      <c r="B10" s="23" t="s">
        <v>11</v>
      </c>
      <c r="C10" s="24"/>
      <c r="D10" s="24" t="s">
        <v>99</v>
      </c>
      <c r="E10" s="1" t="s">
        <v>12</v>
      </c>
      <c r="F10" s="41" t="s">
        <v>121</v>
      </c>
      <c r="G10" s="41" t="s">
        <v>13</v>
      </c>
      <c r="H10" s="1"/>
      <c r="I10" s="1"/>
      <c r="J10" s="185"/>
      <c r="K10" s="148"/>
      <c r="L10" s="138"/>
      <c r="M10" s="185"/>
      <c r="N10" s="148"/>
      <c r="O10" s="138"/>
      <c r="P10" s="185"/>
      <c r="Q10" s="148"/>
      <c r="R10" s="138"/>
      <c r="S10" s="185"/>
      <c r="T10" s="148"/>
      <c r="U10" s="138"/>
      <c r="V10" s="2">
        <f>IF(SUM(J10:N10)=0,"",SUM(J10:N10))</f>
      </c>
      <c r="W10" s="1"/>
    </row>
    <row r="11" spans="1:23" ht="15.75">
      <c r="A11" s="1"/>
      <c r="B11" s="1" t="s">
        <v>14</v>
      </c>
      <c r="C11" s="10"/>
      <c r="D11" s="135" t="s">
        <v>123</v>
      </c>
      <c r="E11" s="70">
        <v>0</v>
      </c>
      <c r="F11" s="94">
        <f aca="true" t="shared" si="0" ref="F11:F18">IF(D11="CAL",(52*E11/4.3333),(IF(D11="ACAD",(36.35*E11/4.33333),IF(D11="SUMR",(15.65*E11/4.33333),IF(D11="PT",(0),0)))))</f>
        <v>0</v>
      </c>
      <c r="G11" s="69">
        <v>0</v>
      </c>
      <c r="J11" s="182">
        <f>IF($D11="CAL",ROUND(($G11*(1+'Salary Inflation'!$B$35))*$E11,0),IF($D11="ACAD",($G11/0.9965)*(1+'Salary Inflation'!$O$46)*$E11,IF($D11="SUMR",($G11)*(1+'Salary Inflation'!$O$47)*$E11,"NA")))</f>
        <v>0</v>
      </c>
      <c r="K11" s="151">
        <f>IF(D11="CAL",ROUND(J11*'RATES-Non Fed'!$E$38,0),IF(D11="ACAD",J11*'RATES-Non Fed'!$E$44,J11*'RATES-Non Fed'!$E$45))</f>
        <v>0</v>
      </c>
      <c r="L11" s="67">
        <f>ROUND(K11+J11,0)</f>
        <v>0</v>
      </c>
      <c r="M11" s="182">
        <f>IF($D11="CAL",ROUND((J11*(1+'Salary Inflation'!$C$35)),0),IF($D11="ACAD",(J11)*(1+'Salary Inflation'!$C$36),IF($D11="SUMR",(J11)*(1+'Salary Inflation'!$C$37),"NA")))</f>
        <v>0</v>
      </c>
      <c r="N11" s="151">
        <f>IF($D11="CAL",ROUND(M11*'RATES-Non Fed'!$G$38,0),IF($D11="ACAD",M11*'RATES-Non Fed'!$G$44,M11*'RATES-Non Fed'!$G$45))</f>
        <v>0</v>
      </c>
      <c r="O11" s="67">
        <f aca="true" t="shared" si="1" ref="O11:O18">ROUND(M11+N11,0)</f>
        <v>0</v>
      </c>
      <c r="P11" s="182">
        <f>IF($D11="CAL",ROUND((M11*(1+'Salary Inflation'!$D$35)),0),IF($D11="ACAD",(M11)*(1+'Salary Inflation'!$D$36),IF($D11="SUMR",(M11)*(1+'Salary Inflation'!$D$37),"NA")))</f>
        <v>0</v>
      </c>
      <c r="Q11" s="151">
        <f>IF($D11="CAL",ROUND(P11*'RATES-Non Fed'!$I$38,0),IF($D11="ACAD",P11*'RATES-Non Fed'!$I$44,P11*'RATES-Non Fed'!$I$45))</f>
        <v>0</v>
      </c>
      <c r="R11" s="67">
        <f aca="true" t="shared" si="2" ref="R11:R18">SUM(P11:Q11)</f>
        <v>0</v>
      </c>
      <c r="S11" s="182">
        <f>IF($D11="CAL",ROUND((P11*(1+'Salary Inflation'!$E$35)),0),IF($D11="ACAD",(P11)*(1+'Salary Inflation'!$E$36),IF($D11="SUMR",(P11)*(1+'Salary Inflation'!$E$37),"NA")))</f>
        <v>0</v>
      </c>
      <c r="T11" s="151">
        <f>IF($D11="CAL",ROUND(S11*'RATES-Non Fed'!$K$38,0),IF($D11="ACAD",S11*'RATES-Non Fed'!$K$44,S11*'RATES-Non Fed'!$K$45))</f>
        <v>0</v>
      </c>
      <c r="U11" s="67">
        <f>SUM(S11:T11)</f>
        <v>0</v>
      </c>
      <c r="V11" s="42">
        <f>SUM(L11+O11+R11+U11)</f>
        <v>0</v>
      </c>
      <c r="W11" s="1"/>
    </row>
    <row r="12" spans="1:23" ht="15.75">
      <c r="A12" s="1"/>
      <c r="B12" s="1" t="s">
        <v>14</v>
      </c>
      <c r="C12" s="3"/>
      <c r="D12" s="135" t="s">
        <v>257</v>
      </c>
      <c r="E12" s="70">
        <v>0</v>
      </c>
      <c r="F12" s="94">
        <f t="shared" si="0"/>
        <v>0</v>
      </c>
      <c r="G12" s="69">
        <f>IF(D11="ACAD",+G11*0.428,0)</f>
        <v>0</v>
      </c>
      <c r="J12" s="182">
        <f>IF($D12="CAL",ROUND(($G12*(1+'Salary Inflation'!$B$35))*$E12,0),IF($D12="ACAD",($G12/0.9965)*(1+'Salary Inflation'!$O$46)*$E12,IF($D12="SUMR",($G12)*(1+'Salary Inflation'!$O$47)*$E12,"NA")))</f>
        <v>0</v>
      </c>
      <c r="K12" s="151">
        <f>IF(D12="CAL",ROUND(J12*'RATES-Non Fed'!$E$38,0),IF(D12="ACAD",J12*'RATES-Non Fed'!$E$44,J12*'RATES-Non Fed'!$E$45))</f>
        <v>0</v>
      </c>
      <c r="L12" s="67">
        <f aca="true" t="shared" si="3" ref="L12:L18">ROUND(K12+J12,0)</f>
        <v>0</v>
      </c>
      <c r="M12" s="182">
        <f>IF($D12="CAL",ROUND((J12*(1+'Salary Inflation'!$C$35)),0),IF($D12="ACAD",(J12)*(1+'Salary Inflation'!$C$36),IF($D12="SUMR",(J12)*(1+'Salary Inflation'!$C$37),"NA")))</f>
        <v>0</v>
      </c>
      <c r="N12" s="151">
        <f>IF($D12="CAL",ROUND(M12*'RATES-Non Fed'!$G$38,0),IF($D12="ACAD",M12*'RATES-Non Fed'!$G$44,M12*'RATES-Non Fed'!$G$45))</f>
        <v>0</v>
      </c>
      <c r="O12" s="67">
        <f t="shared" si="1"/>
        <v>0</v>
      </c>
      <c r="P12" s="182">
        <f>IF($D12="CAL",ROUND((M12*(1+'Salary Inflation'!$D$35)),0),IF($D12="ACAD",(M12)*(1+'Salary Inflation'!$D$36),IF($D12="SUMR",(M12)*(1+'Salary Inflation'!$D$37),"NA")))</f>
        <v>0</v>
      </c>
      <c r="Q12" s="151">
        <f>IF($D12="CAL",ROUND(P12*'RATES-Non Fed'!$I$38,0),IF($D12="ACAD",P12*'RATES-Non Fed'!$I$44,P12*'RATES-Non Fed'!$I$45))</f>
        <v>0</v>
      </c>
      <c r="R12" s="67">
        <f t="shared" si="2"/>
        <v>0</v>
      </c>
      <c r="S12" s="182">
        <f>IF($D12="CAL",ROUND((P12*(1+'Salary Inflation'!$E$35)),0),IF($D12="ACAD",(P12)*(1+'Salary Inflation'!$E$36),IF($D12="SUMR",(P12)*(1+'Salary Inflation'!$E$37),"NA")))</f>
        <v>0</v>
      </c>
      <c r="T12" s="151">
        <f>IF($D12="CAL",ROUND(S12*'RATES-Non Fed'!$K$38,0),IF($D12="ACAD",S12*'RATES-Non Fed'!$K$44,S12*'RATES-Non Fed'!$K$45))</f>
        <v>0</v>
      </c>
      <c r="U12" s="67">
        <f aca="true" t="shared" si="4" ref="U12:U18">SUM(S12:T12)</f>
        <v>0</v>
      </c>
      <c r="V12" s="42">
        <f aca="true" t="shared" si="5" ref="V12:V18">SUM(L12+O12+R12+U12)</f>
        <v>0</v>
      </c>
      <c r="W12" s="1"/>
    </row>
    <row r="13" spans="1:23" ht="15.75">
      <c r="A13" s="1"/>
      <c r="B13" s="1" t="s">
        <v>15</v>
      </c>
      <c r="C13" s="3"/>
      <c r="D13" s="135" t="s">
        <v>123</v>
      </c>
      <c r="E13" s="70">
        <v>0</v>
      </c>
      <c r="F13" s="94">
        <f t="shared" si="0"/>
        <v>0</v>
      </c>
      <c r="G13" s="69">
        <v>0</v>
      </c>
      <c r="J13" s="182">
        <f>IF($D13="CAL",ROUND(($G13*(1+'Salary Inflation'!$B$35))*$E13,0),IF($D13="ACAD",($G13/0.9965)*(1+'Salary Inflation'!$O$46)*$E13,IF($D13="SUMR",($G13)*(1+'Salary Inflation'!$O$47)*$E13,"NA")))</f>
        <v>0</v>
      </c>
      <c r="K13" s="151">
        <f>IF(D13="CAL",ROUND(J13*'RATES-Non Fed'!$E$38,0),IF(D13="ACAD",J13*'RATES-Non Fed'!$E$44,J13*'RATES-Non Fed'!$E$45))</f>
        <v>0</v>
      </c>
      <c r="L13" s="67">
        <f t="shared" si="3"/>
        <v>0</v>
      </c>
      <c r="M13" s="182">
        <f>IF($D13="CAL",ROUND((J13*(1+'Salary Inflation'!$C$35)),0),IF($D13="ACAD",(J13)*(1+'Salary Inflation'!$C$36),IF($D13="SUMR",(J13)*(1+'Salary Inflation'!$C$37),"NA")))</f>
        <v>0</v>
      </c>
      <c r="N13" s="151">
        <f>IF($D13="CAL",ROUND(M13*'RATES-Non Fed'!$G$38,0),IF($D13="ACAD",M13*'RATES-Non Fed'!$G$44,M13*'RATES-Non Fed'!$G$45))</f>
        <v>0</v>
      </c>
      <c r="O13" s="67">
        <f t="shared" si="1"/>
        <v>0</v>
      </c>
      <c r="P13" s="182">
        <f>IF($D13="CAL",ROUND((M13*(1+'Salary Inflation'!$D$35)),0),IF($D13="ACAD",(M13)*(1+'Salary Inflation'!$D$36),IF($D13="SUMR",(M13)*(1+'Salary Inflation'!$D$37),"NA")))</f>
        <v>0</v>
      </c>
      <c r="Q13" s="151">
        <f>IF($D13="CAL",ROUND(P13*'RATES-Non Fed'!$I$38,0),IF($D13="ACAD",P13*'RATES-Non Fed'!$I$44,P13*'RATES-Non Fed'!$I$45))</f>
        <v>0</v>
      </c>
      <c r="R13" s="67">
        <f t="shared" si="2"/>
        <v>0</v>
      </c>
      <c r="S13" s="182">
        <f>IF($D13="CAL",ROUND((P13*(1+'Salary Inflation'!$E$35)),0),IF($D13="ACAD",(P13)*(1+'Salary Inflation'!$E$36),IF($D13="SUMR",(P13)*(1+'Salary Inflation'!$E$37),"NA")))</f>
        <v>0</v>
      </c>
      <c r="T13" s="151">
        <f>IF($D13="CAL",ROUND(S13*'RATES-Non Fed'!$K$38,0),IF($D13="ACAD",S13*'RATES-Non Fed'!$K$44,S13*'RATES-Non Fed'!$K$45))</f>
        <v>0</v>
      </c>
      <c r="U13" s="67">
        <f t="shared" si="4"/>
        <v>0</v>
      </c>
      <c r="V13" s="42">
        <f t="shared" si="5"/>
        <v>0</v>
      </c>
      <c r="W13" s="1"/>
    </row>
    <row r="14" spans="1:22" ht="15.75">
      <c r="A14" s="1"/>
      <c r="B14" s="1"/>
      <c r="C14" s="3"/>
      <c r="D14" s="135" t="str">
        <f>IF(D13="ACAD",("SUMR"),"")</f>
        <v>SUMR</v>
      </c>
      <c r="E14" s="70">
        <v>0</v>
      </c>
      <c r="F14" s="94">
        <f t="shared" si="0"/>
        <v>0</v>
      </c>
      <c r="G14" s="69">
        <f>IF(D13="ACAD",+G13*0.428,0)</f>
        <v>0</v>
      </c>
      <c r="J14" s="182">
        <f>IF($D14="CAL",ROUND(($G14*(1+'Salary Inflation'!$B$35))*$E14,0),IF($D14="ACAD",($G14/0.9965)*(1+'Salary Inflation'!$O$46)*$E14,IF($D14="SUMR",($G14)*(1+'Salary Inflation'!$O$47)*$E14,"NA")))</f>
        <v>0</v>
      </c>
      <c r="K14" s="151">
        <f>IF(D14="CAL",ROUND(J14*'RATES-Non Fed'!$E$38,0),IF(D14="ACAD",J14*'RATES-Non Fed'!$E$44,J14*'RATES-Non Fed'!$E$45))</f>
        <v>0</v>
      </c>
      <c r="L14" s="67">
        <f t="shared" si="3"/>
        <v>0</v>
      </c>
      <c r="M14" s="182">
        <f>IF($D14="CAL",ROUND((J14*(1+'Salary Inflation'!$C$35)),0),IF($D14="ACAD",(J14)*(1+'Salary Inflation'!$C$36),IF($D14="SUMR",(J14)*(1+'Salary Inflation'!$C$37),"NA")))</f>
        <v>0</v>
      </c>
      <c r="N14" s="151">
        <f>IF($D14="CAL",ROUND(M14*'RATES-Non Fed'!$G$38,0),IF($D14="ACAD",M14*'RATES-Non Fed'!$G$44,M14*'RATES-Non Fed'!$G$45))</f>
        <v>0</v>
      </c>
      <c r="O14" s="67">
        <f t="shared" si="1"/>
        <v>0</v>
      </c>
      <c r="P14" s="182">
        <f>IF($D14="CAL",ROUND((M14*(1+'Salary Inflation'!$D$35)),0),IF($D14="ACAD",(M14)*(1+'Salary Inflation'!$D$36),IF($D14="SUMR",(M14)*(1+'Salary Inflation'!$D$37),"NA")))</f>
        <v>0</v>
      </c>
      <c r="Q14" s="151">
        <f>IF($D14="CAL",ROUND(P14*'RATES-Non Fed'!$I$38,0),IF($D14="ACAD",P14*'RATES-Non Fed'!$I$44,P14*'RATES-Non Fed'!$I$45))</f>
        <v>0</v>
      </c>
      <c r="R14" s="67">
        <f t="shared" si="2"/>
        <v>0</v>
      </c>
      <c r="S14" s="182">
        <f>IF($D14="CAL",ROUND((P14*(1+'Salary Inflation'!$E$35)),0),IF($D14="ACAD",(P14)*(1+'Salary Inflation'!$E$36),IF($D14="SUMR",(P14)*(1+'Salary Inflation'!$E$37),"NA")))</f>
        <v>0</v>
      </c>
      <c r="T14" s="151">
        <f>IF($D14="CAL",ROUND(S14*'RATES-Non Fed'!$K$38,0),IF($D14="ACAD",S14*'RATES-Non Fed'!$K$44,S14*'RATES-Non Fed'!$K$45))</f>
        <v>0</v>
      </c>
      <c r="U14" s="67">
        <f t="shared" si="4"/>
        <v>0</v>
      </c>
      <c r="V14" s="42">
        <f t="shared" si="5"/>
        <v>0</v>
      </c>
    </row>
    <row r="15" spans="1:23" ht="15.75">
      <c r="A15" s="1"/>
      <c r="B15" s="1" t="s">
        <v>15</v>
      </c>
      <c r="C15" s="3"/>
      <c r="D15" s="135" t="s">
        <v>123</v>
      </c>
      <c r="E15" s="70">
        <v>0</v>
      </c>
      <c r="F15" s="94">
        <f t="shared" si="0"/>
        <v>0</v>
      </c>
      <c r="G15" s="69">
        <v>0</v>
      </c>
      <c r="J15" s="182">
        <f>IF($D15="CAL",ROUND(($G15*(1+'Salary Inflation'!$B$35))*$E15,0),IF($D15="ACAD",($G15/0.9965)*(1+'Salary Inflation'!$O$46)*$E15,IF($D15="SUMR",($G15)*(1+'Salary Inflation'!$O$47)*$E15,"NA")))</f>
        <v>0</v>
      </c>
      <c r="K15" s="151">
        <f>IF(D15="CAL",ROUND(J15*'RATES-Non Fed'!$E$38,0),IF(D15="ACAD",J15*'RATES-Non Fed'!$E$44,J15*'RATES-Non Fed'!$E$45))</f>
        <v>0</v>
      </c>
      <c r="L15" s="67">
        <f t="shared" si="3"/>
        <v>0</v>
      </c>
      <c r="M15" s="182">
        <f>IF($D15="CAL",ROUND((J15*(1+'Salary Inflation'!$C$35)),0),IF($D15="ACAD",(J15)*(1+'Salary Inflation'!$C$36),IF($D15="SUMR",(J15)*(1+'Salary Inflation'!$C$37),"NA")))</f>
        <v>0</v>
      </c>
      <c r="N15" s="151">
        <f>IF($D15="CAL",ROUND(M15*'RATES-Non Fed'!$G$38,0),IF($D15="ACAD",M15*'RATES-Non Fed'!$G$44,M15*'RATES-Non Fed'!$G$45))</f>
        <v>0</v>
      </c>
      <c r="O15" s="67">
        <f t="shared" si="1"/>
        <v>0</v>
      </c>
      <c r="P15" s="182">
        <f>IF($D15="CAL",ROUND((M15*(1+'Salary Inflation'!$D$35)),0),IF($D15="ACAD",(M15)*(1+'Salary Inflation'!$D$36),IF($D15="SUMR",(M15)*(1+'Salary Inflation'!$D$37),"NA")))</f>
        <v>0</v>
      </c>
      <c r="Q15" s="151">
        <f>IF($D15="CAL",ROUND(P15*'RATES-Non Fed'!$I$38,0),IF($D15="ACAD",P15*'RATES-Non Fed'!$I$44,P15*'RATES-Non Fed'!$I$45))</f>
        <v>0</v>
      </c>
      <c r="R15" s="67">
        <f t="shared" si="2"/>
        <v>0</v>
      </c>
      <c r="S15" s="182">
        <f>IF($D15="CAL",ROUND((P15*(1+'Salary Inflation'!$E$35)),0),IF($D15="ACAD",(P15)*(1+'Salary Inflation'!$E$36),IF($D15="SUMR",(P15)*(1+'Salary Inflation'!$E$37),"NA")))</f>
        <v>0</v>
      </c>
      <c r="T15" s="151">
        <f>IF($D15="CAL",ROUND(S15*'RATES-Non Fed'!$K$38,0),IF($D15="ACAD",S15*'RATES-Non Fed'!$K$44,S15*'RATES-Non Fed'!$K$45))</f>
        <v>0</v>
      </c>
      <c r="U15" s="67">
        <f t="shared" si="4"/>
        <v>0</v>
      </c>
      <c r="V15" s="42">
        <f t="shared" si="5"/>
        <v>0</v>
      </c>
      <c r="W15" s="1"/>
    </row>
    <row r="16" spans="1:22" ht="15.75">
      <c r="A16" s="1"/>
      <c r="B16" s="1"/>
      <c r="C16" s="3"/>
      <c r="D16" s="135" t="str">
        <f>IF(D15="ACAD",("SUMR"),"")</f>
        <v>SUMR</v>
      </c>
      <c r="E16" s="70">
        <v>0</v>
      </c>
      <c r="F16" s="94">
        <f t="shared" si="0"/>
        <v>0</v>
      </c>
      <c r="G16" s="69">
        <f>IF(D15="ACAD",+G15*0.428,0)</f>
        <v>0</v>
      </c>
      <c r="J16" s="182">
        <f>IF($D16="CAL",ROUND(($G16*(1+'Salary Inflation'!$B$35))*$E16,0),IF($D16="ACAD",($G16/0.9965)*(1+'Salary Inflation'!$O$46)*$E16,IF($D16="SUMR",($G16)*(1+'Salary Inflation'!$O$47)*$E16,"NA")))</f>
        <v>0</v>
      </c>
      <c r="K16" s="151">
        <f>IF(D16="CAL",ROUND(J16*'RATES-Non Fed'!$E$38,0),IF(D16="ACAD",J16*'RATES-Non Fed'!$E$44,J16*'RATES-Non Fed'!$E$45))</f>
        <v>0</v>
      </c>
      <c r="L16" s="67">
        <f t="shared" si="3"/>
        <v>0</v>
      </c>
      <c r="M16" s="182">
        <f>IF($D16="CAL",ROUND((J16*(1+'Salary Inflation'!$C$35)),0),IF($D16="ACAD",(J16)*(1+'Salary Inflation'!$C$36),IF($D16="SUMR",(J16)*(1+'Salary Inflation'!$C$37),"NA")))</f>
        <v>0</v>
      </c>
      <c r="N16" s="151">
        <f>IF($D16="CAL",ROUND(M16*'RATES-Non Fed'!$G$38,0),IF($D16="ACAD",M16*'RATES-Non Fed'!$G$44,M16*'RATES-Non Fed'!$G$45))</f>
        <v>0</v>
      </c>
      <c r="O16" s="67">
        <f t="shared" si="1"/>
        <v>0</v>
      </c>
      <c r="P16" s="182">
        <f>IF($D16="CAL",ROUND((M16*(1+'Salary Inflation'!$D$35)),0),IF($D16="ACAD",(M16)*(1+'Salary Inflation'!$D$36),IF($D16="SUMR",(M16)*(1+'Salary Inflation'!$D$37),"NA")))</f>
        <v>0</v>
      </c>
      <c r="Q16" s="151">
        <f>IF($D16="CAL",ROUND(P16*'RATES-Non Fed'!$I$38,0),IF($D16="ACAD",P16*'RATES-Non Fed'!$I$44,P16*'RATES-Non Fed'!$I$45))</f>
        <v>0</v>
      </c>
      <c r="R16" s="67">
        <f t="shared" si="2"/>
        <v>0</v>
      </c>
      <c r="S16" s="182">
        <f>IF($D16="CAL",ROUND((P16*(1+'Salary Inflation'!$E$35)),0),IF($D16="ACAD",(P16)*(1+'Salary Inflation'!$E$36),IF($D16="SUMR",(P16)*(1+'Salary Inflation'!$E$37),"NA")))</f>
        <v>0</v>
      </c>
      <c r="T16" s="151">
        <f>IF($D16="CAL",ROUND(S16*'RATES-Non Fed'!$K$38,0),IF($D16="ACAD",S16*'RATES-Non Fed'!$K$44,S16*'RATES-Non Fed'!$K$45))</f>
        <v>0</v>
      </c>
      <c r="U16" s="67">
        <f t="shared" si="4"/>
        <v>0</v>
      </c>
      <c r="V16" s="42">
        <f t="shared" si="5"/>
        <v>0</v>
      </c>
    </row>
    <row r="17" spans="1:23" ht="15.75">
      <c r="A17" s="1"/>
      <c r="B17" s="1" t="s">
        <v>15</v>
      </c>
      <c r="C17" s="3"/>
      <c r="D17" s="135" t="s">
        <v>122</v>
      </c>
      <c r="E17" s="70">
        <v>0</v>
      </c>
      <c r="F17" s="94">
        <f t="shared" si="0"/>
        <v>0</v>
      </c>
      <c r="G17" s="69">
        <v>0</v>
      </c>
      <c r="J17" s="182">
        <f>IF($D17="CAL",ROUND(($G17*(1+'Salary Inflation'!$B$35))*$E17,0),IF($D17="ACAD",($G17/0.9965)*(1+'Salary Inflation'!$O$46)*$E17,IF($D17="SUMR",($G17)*(1+'Salary Inflation'!$O$47)*$E17,"NA")))</f>
        <v>0</v>
      </c>
      <c r="K17" s="151">
        <f>IF(D17="CAL",ROUND(J17*'RATES-Non Fed'!$E$38,0),IF(D17="ACAD",J17*'RATES-Non Fed'!$E$44,J17*'RATES-Non Fed'!$E$45))</f>
        <v>0</v>
      </c>
      <c r="L17" s="271">
        <f t="shared" si="3"/>
        <v>0</v>
      </c>
      <c r="M17" s="182">
        <f>IF($D17="CAL",ROUND((J17*(1+'Salary Inflation'!$C$35)),0),IF($D17="ACAD",(J17)*(1+'Salary Inflation'!$C$36),IF($D17="SUMR",(J17)*(1+'Salary Inflation'!$C$37),"NA")))</f>
        <v>0</v>
      </c>
      <c r="N17" s="151">
        <f>IF($D17="CAL",ROUND(M17*'RATES-Non Fed'!$G$38,0),IF($D17="ACAD",M17*'RATES-Non Fed'!$G$44,M17*'RATES-Non Fed'!$G$45))</f>
        <v>0</v>
      </c>
      <c r="O17" s="271">
        <f t="shared" si="1"/>
        <v>0</v>
      </c>
      <c r="P17" s="182">
        <f>IF($D17="CAL",ROUND((M17*(1+'Salary Inflation'!$D$35)),0),IF($D17="ACAD",(M17)*(1+'Salary Inflation'!$D$36),IF($D17="SUMR",(M17)*(1+'Salary Inflation'!$D$37),"NA")))</f>
        <v>0</v>
      </c>
      <c r="Q17" s="151">
        <f>IF($D17="CAL",ROUND(P17*'RATES-Non Fed'!$I$38,0),IF($D17="ACAD",P17*'RATES-Non Fed'!$I$44,P17*'RATES-Non Fed'!$I$45))</f>
        <v>0</v>
      </c>
      <c r="R17" s="67">
        <f t="shared" si="2"/>
        <v>0</v>
      </c>
      <c r="S17" s="182">
        <f>IF($D17="CAL",ROUND((P17*(1+'Salary Inflation'!$E$35)),0),IF($D17="ACAD",(P17)*(1+'Salary Inflation'!$E$36),IF($D17="SUMR",(P17)*(1+'Salary Inflation'!$E$37),"NA")))</f>
        <v>0</v>
      </c>
      <c r="T17" s="151">
        <f>IF($D17="CAL",ROUND(S17*'RATES-Non Fed'!$K$38,0),IF($D17="ACAD",S17*'RATES-Non Fed'!$K$44,S17*'RATES-Non Fed'!$K$45))</f>
        <v>0</v>
      </c>
      <c r="U17" s="67">
        <f t="shared" si="4"/>
        <v>0</v>
      </c>
      <c r="V17" s="42">
        <f t="shared" si="5"/>
        <v>0</v>
      </c>
      <c r="W17" s="1"/>
    </row>
    <row r="18" spans="1:22" ht="15.75">
      <c r="A18" s="1"/>
      <c r="B18" s="1" t="s">
        <v>15</v>
      </c>
      <c r="C18" s="3"/>
      <c r="D18" s="135" t="s">
        <v>122</v>
      </c>
      <c r="E18" s="70">
        <v>0</v>
      </c>
      <c r="F18" s="94">
        <f t="shared" si="0"/>
        <v>0</v>
      </c>
      <c r="G18" s="69">
        <v>0</v>
      </c>
      <c r="J18" s="182">
        <f>IF($D18="CAL",ROUND(($G18*(1+'Salary Inflation'!$B$35))*$E18,0),IF($D18="ACAD",($G18/0.9965)*(1+'Salary Inflation'!$O$46)*$E18,IF($D18="SUMR",($G18)*(1+'Salary Inflation'!$O$47)*$E18,"NA")))</f>
        <v>0</v>
      </c>
      <c r="K18" s="151">
        <f>IF(D18="CAL",ROUND(J18*'RATES-Non Fed'!$E$38,0),IF(D18="ACAD",J18*'RATES-Non Fed'!$E$44,J18*'RATES-Non Fed'!$E$45))</f>
        <v>0</v>
      </c>
      <c r="L18" s="201">
        <f t="shared" si="3"/>
        <v>0</v>
      </c>
      <c r="M18" s="195">
        <f>IF($D18="CAL",ROUND((J18*(1+'Salary Inflation'!$C$35)),0),IF($D18="ACAD",(J18)*(1+'Salary Inflation'!$C$36),IF($D18="SUMR",(J18)*(1+'Salary Inflation'!$C$37),"NA")))</f>
        <v>0</v>
      </c>
      <c r="N18" s="200">
        <f>IF($D18="CAL",ROUND(M18*'RATES-Non Fed'!$G$38,0),IF($D18="ACAD",M18*'RATES-Non Fed'!$G$44,M18*'RATES-Non Fed'!$G$45))</f>
        <v>0</v>
      </c>
      <c r="O18" s="201">
        <f t="shared" si="1"/>
        <v>0</v>
      </c>
      <c r="P18" s="195">
        <f>IF($D18="CAL",ROUND((M18*(1+'Salary Inflation'!$D$35)),0),IF($D18="ACAD",(M18)*(1+'Salary Inflation'!$D$36),IF($D18="SUMR",(M18)*(1+'Salary Inflation'!$D$37),"NA")))</f>
        <v>0</v>
      </c>
      <c r="Q18" s="200">
        <f>IF($D18="CAL",ROUND(P18*'RATES-Non Fed'!$I$38,0),IF($D18="ACAD",P18*'RATES-Non Fed'!$I$44,P18*'RATES-Non Fed'!$I$45))</f>
        <v>0</v>
      </c>
      <c r="R18" s="201">
        <f t="shared" si="2"/>
        <v>0</v>
      </c>
      <c r="S18" s="195">
        <f>IF($D18="CAL",ROUND((P18*(1+'Salary Inflation'!$E$35)),0),IF($D18="ACAD",(P18)*(1+'Salary Inflation'!$E$36),IF($D18="SUMR",(P18)*(1+'Salary Inflation'!$E$37),"NA")))</f>
        <v>0</v>
      </c>
      <c r="T18" s="200">
        <f>IF($D18="CAL",ROUND(S18*'RATES-Non Fed'!$K$38,0),IF($D18="ACAD",S18*'RATES-Non Fed'!$K$44,S18*'RATES-Non Fed'!$K$45))</f>
        <v>0</v>
      </c>
      <c r="U18" s="201">
        <f t="shared" si="4"/>
        <v>0</v>
      </c>
      <c r="V18" s="198">
        <f t="shared" si="5"/>
        <v>0</v>
      </c>
    </row>
    <row r="19" spans="1:23" ht="15.75">
      <c r="A19" s="1"/>
      <c r="B19" s="1"/>
      <c r="C19" s="1"/>
      <c r="D19" s="25" t="s">
        <v>16</v>
      </c>
      <c r="E19" s="26"/>
      <c r="F19" s="26"/>
      <c r="G19" s="1"/>
      <c r="H19" s="1"/>
      <c r="I19" s="1"/>
      <c r="J19" s="199">
        <f aca="true" t="shared" si="6" ref="J19:V19">SUM(J11:J18)</f>
        <v>0</v>
      </c>
      <c r="K19" s="152">
        <f t="shared" si="6"/>
        <v>0</v>
      </c>
      <c r="L19" s="46">
        <f t="shared" si="6"/>
        <v>0</v>
      </c>
      <c r="M19" s="199">
        <f t="shared" si="6"/>
        <v>0</v>
      </c>
      <c r="N19" s="152">
        <f t="shared" si="6"/>
        <v>0</v>
      </c>
      <c r="O19" s="46">
        <f t="shared" si="6"/>
        <v>0</v>
      </c>
      <c r="P19" s="199">
        <f t="shared" si="6"/>
        <v>0</v>
      </c>
      <c r="Q19" s="152">
        <f t="shared" si="6"/>
        <v>0</v>
      </c>
      <c r="R19" s="46">
        <f t="shared" si="6"/>
        <v>0</v>
      </c>
      <c r="S19" s="199">
        <f t="shared" si="6"/>
        <v>0</v>
      </c>
      <c r="T19" s="152">
        <f t="shared" si="6"/>
        <v>0</v>
      </c>
      <c r="U19" s="46">
        <f t="shared" si="6"/>
        <v>0</v>
      </c>
      <c r="V19" s="42">
        <f t="shared" si="6"/>
        <v>0</v>
      </c>
      <c r="W19" s="6"/>
    </row>
    <row r="20" spans="1:21" ht="15.75">
      <c r="A20" s="21" t="s">
        <v>217</v>
      </c>
      <c r="B20" s="21" t="s">
        <v>218</v>
      </c>
      <c r="C20" s="1"/>
      <c r="D20" s="25"/>
      <c r="E20" s="26"/>
      <c r="F20" s="26"/>
      <c r="G20" s="1"/>
      <c r="H20" s="1"/>
      <c r="I20" s="1"/>
      <c r="J20" s="199"/>
      <c r="K20" s="152"/>
      <c r="L20" s="46"/>
      <c r="M20" s="42"/>
      <c r="N20" s="6"/>
      <c r="O20"/>
      <c r="Q20"/>
      <c r="R20"/>
      <c r="T20"/>
      <c r="U20"/>
    </row>
    <row r="21" spans="1:22" ht="15.75">
      <c r="A21" s="1"/>
      <c r="B21" s="1" t="s">
        <v>15</v>
      </c>
      <c r="C21" s="3"/>
      <c r="D21" s="135" t="s">
        <v>122</v>
      </c>
      <c r="E21" s="70">
        <v>0</v>
      </c>
      <c r="F21" s="94">
        <f>IF(D21="CAL",(52*E21/4.3333),(IF(D21="ACAD",(32*E21/4.33333),IF(D21="SUMR",(14*E21/4.33333),IF(D21="PT",(0),0)))))</f>
        <v>0</v>
      </c>
      <c r="G21" s="69">
        <v>0</v>
      </c>
      <c r="J21" s="182">
        <f>ROUND(($G21*(1+'Salary Inflation'!$B$39))*$E21,0)</f>
        <v>0</v>
      </c>
      <c r="K21" s="151">
        <f>ROUND(J21*'RATES-Non Fed'!E40,0)</f>
        <v>0</v>
      </c>
      <c r="L21" s="67">
        <f>ROUND(K21+J21,0)</f>
        <v>0</v>
      </c>
      <c r="M21" s="182">
        <f>ROUND(J21*(1+'Salary Inflation'!$C$39),0)</f>
        <v>0</v>
      </c>
      <c r="N21" s="151">
        <f>ROUND(M21*'RATES-Non Fed'!G40,0)</f>
        <v>0</v>
      </c>
      <c r="O21" s="67">
        <f>ROUND(M21+N21,0)</f>
        <v>0</v>
      </c>
      <c r="P21" s="182">
        <f>ROUND(M21*(1+'Salary Inflation'!$C$39),0)</f>
        <v>0</v>
      </c>
      <c r="Q21" s="151">
        <f>ROUND(P21*'RATES-Non Fed'!I40,0)</f>
        <v>0</v>
      </c>
      <c r="R21" s="67">
        <f>ROUND(P21+Q21,0)</f>
        <v>0</v>
      </c>
      <c r="S21" s="182">
        <f>ROUND(P21*(1+'Salary Inflation'!$C$39),0)</f>
        <v>0</v>
      </c>
      <c r="T21" s="151">
        <f>ROUND(S21*'RATES-Non Fed'!K40,0)</f>
        <v>0</v>
      </c>
      <c r="U21" s="76">
        <f>SUM(S21:T21)</f>
        <v>0</v>
      </c>
      <c r="V21" s="42">
        <f>SUM(L21+O21+R21+U21)</f>
        <v>0</v>
      </c>
    </row>
    <row r="22" spans="1:22" ht="15.75">
      <c r="A22" s="1"/>
      <c r="B22" s="1" t="s">
        <v>15</v>
      </c>
      <c r="C22" s="3"/>
      <c r="D22" s="135" t="s">
        <v>122</v>
      </c>
      <c r="E22" s="70">
        <v>0</v>
      </c>
      <c r="F22" s="94">
        <f>IF(D22="CAL",(52*E22/4.3333),(IF(D22="ACAD",(32*E22/4.33333),IF(D22="SUMR",(14*E22/4.33333),IF(D22="PT",(0),0)))))</f>
        <v>0</v>
      </c>
      <c r="G22" s="69">
        <v>0</v>
      </c>
      <c r="J22" s="182">
        <f>ROUND(($G22*(1+'Salary Inflation'!$B$39))*$E22,0)</f>
        <v>0</v>
      </c>
      <c r="K22" s="151">
        <f>ROUND(J22*'RATES-Non Fed'!E40,0)</f>
        <v>0</v>
      </c>
      <c r="L22" s="67">
        <f>ROUND(K22+J22,0)</f>
        <v>0</v>
      </c>
      <c r="M22" s="182">
        <f>ROUND(J22*(1+'Salary Inflation'!$C$39),0)</f>
        <v>0</v>
      </c>
      <c r="N22" s="151">
        <f>ROUND(M22*'RATES-Non Fed'!G40,0)</f>
        <v>0</v>
      </c>
      <c r="O22" s="67">
        <f>ROUND(M22+N22,0)</f>
        <v>0</v>
      </c>
      <c r="P22" s="182">
        <f>ROUND(M22*(1+'Salary Inflation'!$C$39),0)</f>
        <v>0</v>
      </c>
      <c r="Q22" s="151">
        <f>ROUND(P22*'RATES-Non Fed'!I40,0)</f>
        <v>0</v>
      </c>
      <c r="R22" s="67">
        <f>ROUND(P22+Q22,0)</f>
        <v>0</v>
      </c>
      <c r="S22" s="182">
        <f>ROUND(P22*(1+'Salary Inflation'!$C$39),0)</f>
        <v>0</v>
      </c>
      <c r="T22" s="151">
        <f>ROUND(S22*'RATES-Non Fed'!K40,0)</f>
        <v>0</v>
      </c>
      <c r="U22" s="76">
        <f>SUM(S22:T22)</f>
        <v>0</v>
      </c>
      <c r="V22" s="42">
        <f>SUM(L22+O22+R22+U22)</f>
        <v>0</v>
      </c>
    </row>
    <row r="23" spans="1:22" ht="15.75">
      <c r="A23" s="1"/>
      <c r="B23" s="1" t="s">
        <v>15</v>
      </c>
      <c r="C23" s="3"/>
      <c r="D23" s="135" t="s">
        <v>122</v>
      </c>
      <c r="E23" s="70">
        <v>0</v>
      </c>
      <c r="F23" s="94">
        <f>IF(D23="CAL",(52*E23/4.3333),(IF(D23="ACAD",(32*E23/4.33333),IF(D23="SUMR",(14*E23/4.33333),IF(D23="PT",(0),0)))))</f>
        <v>0</v>
      </c>
      <c r="G23" s="69">
        <v>0</v>
      </c>
      <c r="J23" s="182">
        <f>ROUND(($G23*(1+'Salary Inflation'!$B$39))*$E23,0)</f>
        <v>0</v>
      </c>
      <c r="K23" s="151">
        <f>ROUND(J23*'RATES-Non Fed'!E40,0)</f>
        <v>0</v>
      </c>
      <c r="L23" s="67">
        <f>ROUND(K23+J23,0)</f>
        <v>0</v>
      </c>
      <c r="M23" s="182">
        <f>ROUND(J23*(1+'Salary Inflation'!$C$39),0)</f>
        <v>0</v>
      </c>
      <c r="N23" s="151">
        <f>ROUND(M23*'RATES-Non Fed'!G40,0)</f>
        <v>0</v>
      </c>
      <c r="O23" s="67">
        <f>ROUND(M23+N23,0)</f>
        <v>0</v>
      </c>
      <c r="P23" s="182">
        <f>ROUND(M23*(1+'Salary Inflation'!$C$39),0)</f>
        <v>0</v>
      </c>
      <c r="Q23" s="151">
        <f>ROUND(P23*'RATES-Non Fed'!I40,0)</f>
        <v>0</v>
      </c>
      <c r="R23" s="67">
        <f>ROUND(P23+Q23,0)</f>
        <v>0</v>
      </c>
      <c r="S23" s="182">
        <f>ROUND(P23*(1+'Salary Inflation'!$C$39),0)</f>
        <v>0</v>
      </c>
      <c r="T23" s="151">
        <f>ROUND(S23*'RATES-Non Fed'!K40,0)</f>
        <v>0</v>
      </c>
      <c r="U23" s="76">
        <f>SUM(S23:T23)</f>
        <v>0</v>
      </c>
      <c r="V23" s="42">
        <f>SUM(L23+O23+R23+U23)</f>
        <v>0</v>
      </c>
    </row>
    <row r="24" spans="1:22" ht="15.75">
      <c r="A24" s="1"/>
      <c r="B24" s="1" t="s">
        <v>15</v>
      </c>
      <c r="C24" s="3"/>
      <c r="D24" s="135" t="s">
        <v>122</v>
      </c>
      <c r="E24" s="70">
        <v>0</v>
      </c>
      <c r="F24" s="94">
        <f>IF(D24="CAL",(52*E24/4.3333),(IF(D24="ACAD",(32*E24/4.33333),IF(D24="SUMR",(14*E24/4.33333),IF(D24="PT",(0),0)))))</f>
        <v>0</v>
      </c>
      <c r="G24" s="69">
        <v>0</v>
      </c>
      <c r="J24" s="195">
        <f>ROUND(($G24*(1+'Salary Inflation'!$B$39))*$E24,0)</f>
        <v>0</v>
      </c>
      <c r="K24" s="200">
        <f>ROUND(J24*'RATES-Non Fed'!E40,0)</f>
        <v>0</v>
      </c>
      <c r="L24" s="201">
        <f>ROUND(K24+J24,0)</f>
        <v>0</v>
      </c>
      <c r="M24" s="195">
        <f>ROUND(J24*(1+'Salary Inflation'!$C$39),0)</f>
        <v>0</v>
      </c>
      <c r="N24" s="200">
        <f>ROUND(M24*'RATES-Non Fed'!G40,0)</f>
        <v>0</v>
      </c>
      <c r="O24" s="201">
        <f>ROUND(M24+N24,0)</f>
        <v>0</v>
      </c>
      <c r="P24" s="195">
        <f>ROUND(M24*(1+'Salary Inflation'!$C$39),0)</f>
        <v>0</v>
      </c>
      <c r="Q24" s="200">
        <f>ROUND(P24*'RATES-Non Fed'!I40,0)</f>
        <v>0</v>
      </c>
      <c r="R24" s="201">
        <f>ROUND(P24+Q24,0)</f>
        <v>0</v>
      </c>
      <c r="S24" s="195">
        <f>ROUND(P24*(1+'Salary Inflation'!$C$39),0)</f>
        <v>0</v>
      </c>
      <c r="T24" s="200">
        <f>ROUND(S24*'RATES-Non Fed'!K40,0)</f>
        <v>0</v>
      </c>
      <c r="U24" s="272">
        <f>SUM(S24:T24)</f>
        <v>0</v>
      </c>
      <c r="V24" s="198">
        <f>SUM(L24+O24+R24+U24)</f>
        <v>0</v>
      </c>
    </row>
    <row r="25" spans="1:22" ht="15.75">
      <c r="A25" s="1"/>
      <c r="B25" s="1"/>
      <c r="C25" s="1"/>
      <c r="D25" s="25" t="s">
        <v>222</v>
      </c>
      <c r="E25" s="26"/>
      <c r="F25" s="26"/>
      <c r="G25" s="1"/>
      <c r="H25" s="1"/>
      <c r="I25" s="1"/>
      <c r="J25" s="186">
        <f aca="true" t="shared" si="7" ref="J25:T25">SUM(J21:J24)</f>
        <v>0</v>
      </c>
      <c r="K25" s="152">
        <f t="shared" si="7"/>
        <v>0</v>
      </c>
      <c r="L25" s="46">
        <f t="shared" si="7"/>
        <v>0</v>
      </c>
      <c r="M25" s="76">
        <f t="shared" si="7"/>
        <v>0</v>
      </c>
      <c r="N25" s="6">
        <f t="shared" si="7"/>
        <v>0</v>
      </c>
      <c r="O25" s="76">
        <f t="shared" si="7"/>
        <v>0</v>
      </c>
      <c r="P25" s="42">
        <f t="shared" si="7"/>
        <v>0</v>
      </c>
      <c r="Q25" s="42">
        <f t="shared" si="7"/>
        <v>0</v>
      </c>
      <c r="R25" s="76">
        <f t="shared" si="7"/>
        <v>0</v>
      </c>
      <c r="S25" s="42">
        <f>SUM(S21:S24)</f>
        <v>0</v>
      </c>
      <c r="T25" s="42">
        <f t="shared" si="7"/>
        <v>0</v>
      </c>
      <c r="U25"/>
      <c r="V25" s="42">
        <f>SUM(V21:V24)</f>
        <v>0</v>
      </c>
    </row>
    <row r="26" spans="1:22" ht="7.5" customHeight="1">
      <c r="A26" s="1"/>
      <c r="B26" s="1"/>
      <c r="C26" s="1"/>
      <c r="D26" s="26"/>
      <c r="E26" s="26"/>
      <c r="F26" s="26"/>
      <c r="G26" s="1"/>
      <c r="H26" s="1"/>
      <c r="I26" s="1"/>
      <c r="J26" s="187"/>
      <c r="K26" s="152"/>
      <c r="L26" s="46"/>
      <c r="M26" s="181"/>
      <c r="N26" s="152"/>
      <c r="O26" s="46"/>
      <c r="P26" s="181"/>
      <c r="Q26" s="152"/>
      <c r="R26" s="46"/>
      <c r="S26" s="181"/>
      <c r="T26" s="6"/>
      <c r="U26"/>
      <c r="V26" s="42"/>
    </row>
    <row r="27" spans="1:22" ht="15.75">
      <c r="A27" s="22" t="s">
        <v>219</v>
      </c>
      <c r="B27" s="22" t="s">
        <v>17</v>
      </c>
      <c r="C27" s="1"/>
      <c r="D27" s="26"/>
      <c r="E27" s="1"/>
      <c r="F27" s="1"/>
      <c r="G27" s="41"/>
      <c r="H27" s="1"/>
      <c r="I27" s="1"/>
      <c r="J27" s="185"/>
      <c r="K27" s="148"/>
      <c r="L27" s="138"/>
      <c r="M27" s="185"/>
      <c r="N27" s="152"/>
      <c r="O27" s="46"/>
      <c r="P27" s="185"/>
      <c r="Q27" s="152"/>
      <c r="R27" s="46"/>
      <c r="S27" s="185"/>
      <c r="T27" s="6"/>
      <c r="U27"/>
      <c r="V27" s="42"/>
    </row>
    <row r="28" spans="1:22" ht="15.75">
      <c r="A28" s="1"/>
      <c r="C28" s="13" t="s">
        <v>86</v>
      </c>
      <c r="D28" s="41" t="s">
        <v>119</v>
      </c>
      <c r="E28" s="68"/>
      <c r="F28" s="68"/>
      <c r="G28" s="59"/>
      <c r="J28" s="182"/>
      <c r="K28" s="261"/>
      <c r="L28" s="50"/>
      <c r="M28" s="182"/>
      <c r="N28" s="262"/>
      <c r="O28" s="143"/>
      <c r="P28" s="182"/>
      <c r="Q28" s="262"/>
      <c r="R28" s="143"/>
      <c r="S28" s="182"/>
      <c r="T28" s="5"/>
      <c r="U28"/>
      <c r="V28" s="42"/>
    </row>
    <row r="29" spans="1:22" ht="15.75">
      <c r="A29" s="1"/>
      <c r="C29" s="13"/>
      <c r="D29" s="1"/>
      <c r="E29" s="70">
        <v>0</v>
      </c>
      <c r="F29" s="93">
        <f>SUM(52*E29/4.3333)</f>
        <v>0</v>
      </c>
      <c r="G29" s="69">
        <v>0</v>
      </c>
      <c r="J29" s="182">
        <f>ROUND(($G29*(1+'Salary Inflation'!$B$38))*$E29,0)</f>
        <v>0</v>
      </c>
      <c r="K29" s="298">
        <v>0</v>
      </c>
      <c r="L29" s="299">
        <f>SUM(J29:K29)</f>
        <v>0</v>
      </c>
      <c r="M29" s="182">
        <f>ROUND(J29*(1+'Salary Inflation'!$C$38),0)</f>
        <v>0</v>
      </c>
      <c r="N29" s="298">
        <v>0</v>
      </c>
      <c r="O29" s="299">
        <f>SUM(M29:N29)</f>
        <v>0</v>
      </c>
      <c r="P29" s="182">
        <f>ROUND(M29*(1+'Salary Inflation'!$D$38),0)</f>
        <v>0</v>
      </c>
      <c r="Q29" s="298">
        <v>0</v>
      </c>
      <c r="R29" s="299">
        <f>SUM(P29:Q29)</f>
        <v>0</v>
      </c>
      <c r="S29" s="182">
        <f>ROUND(P29*(1+'Salary Inflation'!$E$38),0)</f>
        <v>0</v>
      </c>
      <c r="T29" s="261">
        <f>ROUND(S29*'RATES-Non Fed'!K39,0)</f>
        <v>0</v>
      </c>
      <c r="U29" s="50">
        <f>SUM(S29:T29)</f>
        <v>0</v>
      </c>
      <c r="V29" s="42">
        <f>SUM(L29+O29+R29+U29)</f>
        <v>0</v>
      </c>
    </row>
    <row r="30" spans="1:22" ht="15.75">
      <c r="A30" s="1"/>
      <c r="C30" s="13"/>
      <c r="D30" s="1"/>
      <c r="E30" s="70">
        <v>0</v>
      </c>
      <c r="F30" s="93">
        <f>SUM(52*E30/4.3333)</f>
        <v>0</v>
      </c>
      <c r="G30" s="69">
        <v>0</v>
      </c>
      <c r="J30" s="182">
        <f>ROUND(($G30*(1+'Salary Inflation'!$B$38))*$E30,0)</f>
        <v>0</v>
      </c>
      <c r="K30" s="298">
        <v>0</v>
      </c>
      <c r="L30" s="299">
        <f>SUM(J30:K30)</f>
        <v>0</v>
      </c>
      <c r="M30" s="182">
        <f>ROUND(J30*(1+'Salary Inflation'!$C$38),0)</f>
        <v>0</v>
      </c>
      <c r="N30" s="298">
        <v>0</v>
      </c>
      <c r="O30" s="299">
        <f>SUM(M30:N30)</f>
        <v>0</v>
      </c>
      <c r="P30" s="182">
        <f>ROUND(M30*(1+'Salary Inflation'!$D$38),0)</f>
        <v>0</v>
      </c>
      <c r="Q30" s="298">
        <v>0</v>
      </c>
      <c r="R30" s="299">
        <f>SUM(P30:Q30)</f>
        <v>0</v>
      </c>
      <c r="S30" s="182">
        <f>ROUND(P30*(1+'Salary Inflation'!$E$38),0)</f>
        <v>0</v>
      </c>
      <c r="T30" s="261">
        <f>ROUND(S30*'RATES-Non Fed'!K39,0)</f>
        <v>0</v>
      </c>
      <c r="U30" s="50">
        <f>SUM(S30:T30)</f>
        <v>0</v>
      </c>
      <c r="V30" s="42">
        <f>SUM(L30+O30+R30+U30)</f>
        <v>0</v>
      </c>
    </row>
    <row r="31" spans="1:22" ht="15.75">
      <c r="A31" s="1"/>
      <c r="C31" s="13"/>
      <c r="D31" s="1"/>
      <c r="E31" s="70">
        <v>0</v>
      </c>
      <c r="F31" s="93">
        <f>SUM(52*E31/4.3333)</f>
        <v>0</v>
      </c>
      <c r="G31" s="69">
        <v>0</v>
      </c>
      <c r="J31" s="195">
        <f>ROUND(($G31*(1+'Salary Inflation'!$B$38))*$E31,0)</f>
        <v>0</v>
      </c>
      <c r="K31" s="300">
        <v>0</v>
      </c>
      <c r="L31" s="301">
        <f>SUM(J31:K31)</f>
        <v>0</v>
      </c>
      <c r="M31" s="195">
        <f>ROUND(J31*(1+'Salary Inflation'!$C$38),0)</f>
        <v>0</v>
      </c>
      <c r="N31" s="300">
        <v>0</v>
      </c>
      <c r="O31" s="301">
        <f>SUM(M31:N31)</f>
        <v>0</v>
      </c>
      <c r="P31" s="195">
        <f>ROUND(M31*(1+'Salary Inflation'!$D$38),0)</f>
        <v>0</v>
      </c>
      <c r="Q31" s="300">
        <v>0</v>
      </c>
      <c r="R31" s="301">
        <f>SUM(P31:Q31)</f>
        <v>0</v>
      </c>
      <c r="S31" s="195">
        <f>ROUND(P31*(1+'Salary Inflation'!$E$38),0)</f>
        <v>0</v>
      </c>
      <c r="T31" s="196">
        <f>ROUND(S31*'RATES-Non Fed'!K39,0)</f>
        <v>0</v>
      </c>
      <c r="U31" s="197">
        <f>SUM(S31:T31)</f>
        <v>0</v>
      </c>
      <c r="V31" s="198">
        <f>SUM(L31+O31+R31+U31)</f>
        <v>0</v>
      </c>
    </row>
    <row r="32" spans="1:22" ht="15.75">
      <c r="A32" s="1"/>
      <c r="C32" s="13"/>
      <c r="D32" s="1" t="s">
        <v>120</v>
      </c>
      <c r="E32" s="70"/>
      <c r="F32" s="70"/>
      <c r="G32" s="69"/>
      <c r="J32" s="182">
        <f aca="true" t="shared" si="8" ref="J32:S32">SUM(J29:J31)</f>
        <v>0</v>
      </c>
      <c r="K32" s="298">
        <f t="shared" si="8"/>
        <v>0</v>
      </c>
      <c r="L32" s="299">
        <f t="shared" si="8"/>
        <v>0</v>
      </c>
      <c r="M32" s="182">
        <f t="shared" si="8"/>
        <v>0</v>
      </c>
      <c r="N32" s="262">
        <f t="shared" si="8"/>
        <v>0</v>
      </c>
      <c r="O32" s="143">
        <f t="shared" si="8"/>
        <v>0</v>
      </c>
      <c r="P32" s="182">
        <f t="shared" si="8"/>
        <v>0</v>
      </c>
      <c r="Q32" s="262">
        <f t="shared" si="8"/>
        <v>0</v>
      </c>
      <c r="R32" s="143">
        <f t="shared" si="8"/>
        <v>0</v>
      </c>
      <c r="S32" s="182">
        <f t="shared" si="8"/>
        <v>0</v>
      </c>
      <c r="T32" s="262">
        <f>SUM(T29:T31)</f>
        <v>0</v>
      </c>
      <c r="U32" s="143">
        <f>SUM(U29:U31)</f>
        <v>0</v>
      </c>
      <c r="V32" s="42">
        <f>SUM(V29:V31)</f>
        <v>0</v>
      </c>
    </row>
    <row r="33" spans="1:22" ht="9.75" customHeight="1">
      <c r="A33" s="1"/>
      <c r="C33" s="13"/>
      <c r="D33" s="1"/>
      <c r="E33" s="70"/>
      <c r="F33" s="70"/>
      <c r="G33" s="69"/>
      <c r="J33" s="182"/>
      <c r="K33" s="298"/>
      <c r="L33" s="299"/>
      <c r="M33" s="182"/>
      <c r="N33" s="262"/>
      <c r="O33" s="143"/>
      <c r="P33" s="182"/>
      <c r="Q33" s="262"/>
      <c r="R33" s="143"/>
      <c r="T33" s="5"/>
      <c r="U33"/>
      <c r="V33" s="42"/>
    </row>
    <row r="34" spans="1:22" ht="15.75">
      <c r="A34" s="1"/>
      <c r="C34" s="13" t="s">
        <v>87</v>
      </c>
      <c r="D34" s="1"/>
      <c r="E34" s="70">
        <v>0</v>
      </c>
      <c r="F34" s="93">
        <f>SUM(52*E34/4.3333)</f>
        <v>0</v>
      </c>
      <c r="G34" s="69">
        <v>0</v>
      </c>
      <c r="J34" s="182">
        <f>ROUND(($G34*(1+'Salary Inflation'!$B$38))*$E34,0)</f>
        <v>0</v>
      </c>
      <c r="K34" s="298">
        <v>0</v>
      </c>
      <c r="L34" s="299">
        <f>SUM(J34:K34)</f>
        <v>0</v>
      </c>
      <c r="M34" s="182">
        <f>ROUND(J34*(1+'Salary Inflation'!$C$38),0)</f>
        <v>0</v>
      </c>
      <c r="N34" s="298">
        <v>0</v>
      </c>
      <c r="O34" s="299">
        <f>SUM(M34:N34)</f>
        <v>0</v>
      </c>
      <c r="P34" s="182">
        <f>ROUND(M34*(1+'Salary Inflation'!$D$38),0)</f>
        <v>0</v>
      </c>
      <c r="Q34" s="298">
        <v>0</v>
      </c>
      <c r="R34" s="299">
        <f>SUM(P34:Q34)</f>
        <v>0</v>
      </c>
      <c r="S34" s="182">
        <f>ROUND(P34*(1+'Salary Inflation'!$E$38),0)</f>
        <v>0</v>
      </c>
      <c r="T34" s="261">
        <f>ROUND(S34*'RATES-Non Fed'!K43,0)</f>
        <v>0</v>
      </c>
      <c r="U34" s="50">
        <f>SUM(S34:T34)</f>
        <v>0</v>
      </c>
      <c r="V34" s="42">
        <f>SUM(L34+O34+R34+U34)</f>
        <v>0</v>
      </c>
    </row>
    <row r="35" spans="1:22" ht="15.75">
      <c r="A35" s="1"/>
      <c r="C35" s="13" t="s">
        <v>18</v>
      </c>
      <c r="D35" s="1"/>
      <c r="E35" s="70">
        <v>0</v>
      </c>
      <c r="F35" s="93">
        <f>SUM(52*E35/4.3333)</f>
        <v>0</v>
      </c>
      <c r="G35" s="69">
        <v>0</v>
      </c>
      <c r="J35" s="182">
        <f>ROUND(($G35*(1+'Salary Inflation'!$B$38))*$E35,0)</f>
        <v>0</v>
      </c>
      <c r="K35" s="298">
        <v>0</v>
      </c>
      <c r="L35" s="299">
        <f>SUM(J35:K35)</f>
        <v>0</v>
      </c>
      <c r="M35" s="182">
        <f>ROUND(J35*(1+'Salary Inflation'!$C$38),0)</f>
        <v>0</v>
      </c>
      <c r="N35" s="298">
        <v>0</v>
      </c>
      <c r="O35" s="299">
        <f>SUM(M35:N35)</f>
        <v>0</v>
      </c>
      <c r="P35" s="182">
        <f>ROUND(M35*(1+'Salary Inflation'!$D$38),0)</f>
        <v>0</v>
      </c>
      <c r="Q35" s="298">
        <v>0</v>
      </c>
      <c r="R35" s="299">
        <f>SUM(P35:Q35)</f>
        <v>0</v>
      </c>
      <c r="S35" s="182">
        <f>ROUND(P35*(1+'Salary Inflation'!$E$38),0)</f>
        <v>0</v>
      </c>
      <c r="T35" s="261">
        <f>ROUND(S35*'RATES-Non Fed'!K42,0)</f>
        <v>0</v>
      </c>
      <c r="U35" s="50">
        <f>SUM(S35:T35)</f>
        <v>0</v>
      </c>
      <c r="V35" s="42">
        <f>SUM(L35+O35+R35+U35)</f>
        <v>0</v>
      </c>
    </row>
    <row r="36" spans="1:22" ht="15.75">
      <c r="A36" s="1"/>
      <c r="C36" s="13" t="s">
        <v>19</v>
      </c>
      <c r="D36" s="1"/>
      <c r="E36" s="70">
        <v>0</v>
      </c>
      <c r="F36" s="93">
        <f>SUM(52*E36/4.3333)</f>
        <v>0</v>
      </c>
      <c r="G36" s="69">
        <v>0</v>
      </c>
      <c r="J36" s="182">
        <f>ROUND(($G36*(1+'Salary Inflation'!$B$38))*$E36,0)</f>
        <v>0</v>
      </c>
      <c r="K36" s="298">
        <v>0</v>
      </c>
      <c r="L36" s="299">
        <f>SUM(J36:K36)</f>
        <v>0</v>
      </c>
      <c r="M36" s="182">
        <f>ROUND(J36*(1+'Salary Inflation'!$C$38),0)</f>
        <v>0</v>
      </c>
      <c r="N36" s="298">
        <v>0</v>
      </c>
      <c r="O36" s="299">
        <f>SUM(M36:N36)</f>
        <v>0</v>
      </c>
      <c r="P36" s="182">
        <f>ROUND(M36*(1+'Salary Inflation'!$D$38),0)</f>
        <v>0</v>
      </c>
      <c r="Q36" s="298">
        <v>0</v>
      </c>
      <c r="R36" s="299">
        <f>SUM(P36:Q36)</f>
        <v>0</v>
      </c>
      <c r="S36" s="182">
        <f>ROUND(P36*(1+'Salary Inflation'!$E$38),0)</f>
        <v>0</v>
      </c>
      <c r="T36" s="261">
        <f>ROUND(S36*'RATES-Non Fed'!K42,0)</f>
        <v>0</v>
      </c>
      <c r="U36" s="50">
        <f>SUM(S36:T36)</f>
        <v>0</v>
      </c>
      <c r="V36" s="42">
        <f>SUM(L36+O36+R36+U36)</f>
        <v>0</v>
      </c>
    </row>
    <row r="37" spans="1:22" s="90" customFormat="1" ht="15.75">
      <c r="A37" s="138"/>
      <c r="C37" s="137" t="s">
        <v>20</v>
      </c>
      <c r="D37" s="138"/>
      <c r="E37" s="70">
        <v>0</v>
      </c>
      <c r="F37" s="93">
        <f>SUM(52*E37/4.3333)</f>
        <v>0</v>
      </c>
      <c r="G37" s="69">
        <v>0</v>
      </c>
      <c r="J37" s="182">
        <f>ROUND(($G37*(1+'Salary Inflation'!$B$38))*$E37,0)</f>
        <v>0</v>
      </c>
      <c r="K37" s="298">
        <v>0</v>
      </c>
      <c r="L37" s="299">
        <f>SUM(J37:K37)</f>
        <v>0</v>
      </c>
      <c r="M37" s="182">
        <f>ROUND(J37*(1+'Salary Inflation'!$C$38),0)</f>
        <v>0</v>
      </c>
      <c r="N37" s="298">
        <v>0</v>
      </c>
      <c r="O37" s="299">
        <f>SUM(M37:N37)</f>
        <v>0</v>
      </c>
      <c r="P37" s="182">
        <f>ROUND(M37*(1+'Salary Inflation'!$D$38),0)</f>
        <v>0</v>
      </c>
      <c r="Q37" s="298">
        <v>0</v>
      </c>
      <c r="R37" s="299">
        <f>SUM(P37:Q37)</f>
        <v>0</v>
      </c>
      <c r="S37" s="182">
        <f>ROUND(P37*(1+'Salary Inflation'!$E$38),0)</f>
        <v>0</v>
      </c>
      <c r="T37" s="261">
        <f>ROUND(S37*'RATES-Non Fed'!K43,0)</f>
        <v>0</v>
      </c>
      <c r="U37" s="50">
        <f>SUM(S37:T37)</f>
        <v>0</v>
      </c>
      <c r="V37" s="42">
        <f>SUM(L37+O37+R37+U37)</f>
        <v>0</v>
      </c>
    </row>
    <row r="38" spans="1:23" s="90" customFormat="1" ht="15.75">
      <c r="A38" s="138"/>
      <c r="C38" s="137" t="s">
        <v>88</v>
      </c>
      <c r="D38" s="138"/>
      <c r="E38" s="70">
        <v>0</v>
      </c>
      <c r="F38" s="93">
        <f>SUM(52*E38/4.3333)</f>
        <v>0</v>
      </c>
      <c r="G38" s="69">
        <v>0</v>
      </c>
      <c r="J38" s="195">
        <f>ROUND(($G38*(1+'Salary Inflation'!$B$38))*$E38,0)</f>
        <v>0</v>
      </c>
      <c r="K38" s="300">
        <v>0</v>
      </c>
      <c r="L38" s="301">
        <f>SUM(J38:K38)</f>
        <v>0</v>
      </c>
      <c r="M38" s="195">
        <f>ROUND(J38*(1+'Salary Inflation'!$C$38),0)</f>
        <v>0</v>
      </c>
      <c r="N38" s="203">
        <v>0</v>
      </c>
      <c r="O38" s="301">
        <f>SUM(M38:N38)</f>
        <v>0</v>
      </c>
      <c r="P38" s="195">
        <f>ROUND(M38*(1+'Salary Inflation'!$D$38),0)</f>
        <v>0</v>
      </c>
      <c r="Q38" s="203">
        <v>0</v>
      </c>
      <c r="R38" s="301">
        <f>SUM(P38:Q38)</f>
        <v>0</v>
      </c>
      <c r="S38" s="195">
        <f>ROUND(P38*(1+'Salary Inflation'!$E$38),0)</f>
        <v>0</v>
      </c>
      <c r="T38" s="203">
        <f>ROUND(S38*'RATES-Non Fed'!K41,0)</f>
        <v>0</v>
      </c>
      <c r="U38" s="197">
        <f>SUM(S38:T38)</f>
        <v>0</v>
      </c>
      <c r="V38" s="198">
        <f>SUM(L38+O38+R38+U38)</f>
        <v>0</v>
      </c>
      <c r="W38" s="273"/>
    </row>
    <row r="39" spans="1:22" ht="15.75">
      <c r="A39" s="1"/>
      <c r="B39" s="1"/>
      <c r="C39" s="1"/>
      <c r="D39" s="183" t="s">
        <v>183</v>
      </c>
      <c r="E39" s="26"/>
      <c r="F39" s="26"/>
      <c r="G39" s="1"/>
      <c r="H39" s="1"/>
      <c r="I39" s="1"/>
      <c r="J39" s="202">
        <f aca="true" t="shared" si="9" ref="J39:U39">SUM(J19+J25+J32+J34+J35+J36+J37+J38)</f>
        <v>0</v>
      </c>
      <c r="K39" s="261">
        <f t="shared" si="9"/>
        <v>0</v>
      </c>
      <c r="L39" s="50">
        <f t="shared" si="9"/>
        <v>0</v>
      </c>
      <c r="M39" s="202">
        <f t="shared" si="9"/>
        <v>0</v>
      </c>
      <c r="N39" s="261">
        <f t="shared" si="9"/>
        <v>0</v>
      </c>
      <c r="O39" s="50">
        <f t="shared" si="9"/>
        <v>0</v>
      </c>
      <c r="P39" s="202">
        <f t="shared" si="9"/>
        <v>0</v>
      </c>
      <c r="Q39" s="261">
        <f t="shared" si="9"/>
        <v>0</v>
      </c>
      <c r="R39" s="50">
        <f t="shared" si="9"/>
        <v>0</v>
      </c>
      <c r="S39" s="202">
        <f t="shared" si="9"/>
        <v>0</v>
      </c>
      <c r="T39" s="261">
        <f t="shared" si="9"/>
        <v>0</v>
      </c>
      <c r="U39" s="50">
        <f t="shared" si="9"/>
        <v>0</v>
      </c>
      <c r="V39" s="42">
        <f>SUM(V34:V38)</f>
        <v>0</v>
      </c>
    </row>
    <row r="40" spans="1:23" ht="7.5" customHeight="1">
      <c r="A40" s="1"/>
      <c r="B40" s="1"/>
      <c r="C40" s="1"/>
      <c r="D40" s="26"/>
      <c r="E40" s="26"/>
      <c r="F40" s="26"/>
      <c r="G40" s="26"/>
      <c r="H40" s="26"/>
      <c r="I40" s="26"/>
      <c r="J40" s="52"/>
      <c r="K40" s="152"/>
      <c r="L40" s="171"/>
      <c r="M40" s="64"/>
      <c r="P40" s="64"/>
      <c r="Q40" s="152"/>
      <c r="R40" s="46"/>
      <c r="S40" s="64"/>
      <c r="T40" s="152"/>
      <c r="U40" s="46"/>
      <c r="V40" s="64" t="s">
        <v>1</v>
      </c>
      <c r="W40" s="6"/>
    </row>
    <row r="41" spans="1:23" s="31" customFormat="1" ht="15.75">
      <c r="A41" s="40" t="s">
        <v>23</v>
      </c>
      <c r="B41" s="21"/>
      <c r="D41" s="28"/>
      <c r="E41" s="28"/>
      <c r="F41" s="28"/>
      <c r="G41" s="28"/>
      <c r="H41" s="28"/>
      <c r="I41" s="28"/>
      <c r="J41" s="47">
        <f>SUM(J39+K39)</f>
        <v>0</v>
      </c>
      <c r="K41" s="154"/>
      <c r="L41" s="173"/>
      <c r="M41" s="47">
        <f>SUM(M39+N39)</f>
        <v>0</v>
      </c>
      <c r="N41" s="154"/>
      <c r="O41" s="139"/>
      <c r="P41" s="47">
        <f>SUM(P39+Q39)</f>
        <v>0</v>
      </c>
      <c r="Q41" s="154"/>
      <c r="R41" s="139"/>
      <c r="S41" s="47">
        <f>SUM(S39+T39)</f>
        <v>0</v>
      </c>
      <c r="T41" s="154"/>
      <c r="U41" s="139"/>
      <c r="V41" s="47">
        <f>SUM(J41+M41+P41+S41)</f>
        <v>0</v>
      </c>
      <c r="W41" s="29"/>
    </row>
    <row r="42" spans="1:23" ht="8.25" customHeight="1">
      <c r="A42" s="1"/>
      <c r="B42" s="1"/>
      <c r="C42" s="28"/>
      <c r="D42" s="26"/>
      <c r="E42" s="26"/>
      <c r="F42" s="26"/>
      <c r="G42" s="26"/>
      <c r="H42" s="26"/>
      <c r="I42" s="26"/>
      <c r="J42" s="52"/>
      <c r="K42" s="152"/>
      <c r="L42" s="171"/>
      <c r="M42" s="46"/>
      <c r="N42" s="152"/>
      <c r="O42" s="46"/>
      <c r="P42" s="46"/>
      <c r="Q42" s="152"/>
      <c r="R42" s="46"/>
      <c r="S42" s="46"/>
      <c r="T42" s="152"/>
      <c r="U42" s="46"/>
      <c r="V42" s="46" t="s">
        <v>1</v>
      </c>
      <c r="W42" s="6"/>
    </row>
    <row r="43" spans="1:23" ht="15.75">
      <c r="A43" s="22" t="s">
        <v>24</v>
      </c>
      <c r="B43" s="22" t="s">
        <v>25</v>
      </c>
      <c r="C43" s="21"/>
      <c r="D43" s="26"/>
      <c r="E43" s="26"/>
      <c r="F43" s="26"/>
      <c r="G43" s="26"/>
      <c r="H43" s="26"/>
      <c r="I43" s="26"/>
      <c r="J43" s="52"/>
      <c r="K43" s="152"/>
      <c r="L43" s="171"/>
      <c r="M43" s="50"/>
      <c r="N43" s="152"/>
      <c r="O43" s="46"/>
      <c r="P43" s="50"/>
      <c r="Q43" s="152"/>
      <c r="R43" s="46"/>
      <c r="S43" s="50"/>
      <c r="T43" s="152"/>
      <c r="U43" s="46"/>
      <c r="V43" s="50" t="s">
        <v>1</v>
      </c>
      <c r="W43" s="6"/>
    </row>
    <row r="44" spans="1:23" ht="15.75">
      <c r="A44" s="21"/>
      <c r="B44" s="21"/>
      <c r="C44" s="10" t="s">
        <v>26</v>
      </c>
      <c r="D44" s="30"/>
      <c r="E44" s="30"/>
      <c r="F44" s="30"/>
      <c r="G44" s="30"/>
      <c r="H44" s="30"/>
      <c r="I44" s="30"/>
      <c r="J44" s="42">
        <v>0</v>
      </c>
      <c r="K44" s="152"/>
      <c r="L44" s="171"/>
      <c r="M44" s="42">
        <v>0</v>
      </c>
      <c r="N44" s="153"/>
      <c r="O44" s="50"/>
      <c r="P44" s="42">
        <v>0</v>
      </c>
      <c r="Q44" s="153"/>
      <c r="R44" s="50"/>
      <c r="S44" s="42">
        <v>0</v>
      </c>
      <c r="T44" s="153"/>
      <c r="U44" s="50"/>
      <c r="V44" s="42">
        <f>SUM(J44:U44)</f>
        <v>0</v>
      </c>
      <c r="W44" s="6"/>
    </row>
    <row r="45" spans="1:23" ht="15.75">
      <c r="A45" s="21"/>
      <c r="B45" s="21"/>
      <c r="C45" s="10" t="s">
        <v>26</v>
      </c>
      <c r="D45" s="30"/>
      <c r="E45" s="30"/>
      <c r="F45" s="30"/>
      <c r="G45" s="30"/>
      <c r="H45" s="30"/>
      <c r="I45" s="30"/>
      <c r="J45" s="42">
        <v>0</v>
      </c>
      <c r="K45" s="152"/>
      <c r="L45" s="171"/>
      <c r="M45" s="42">
        <v>0</v>
      </c>
      <c r="N45" s="153"/>
      <c r="O45" s="50"/>
      <c r="P45" s="42">
        <v>0</v>
      </c>
      <c r="Q45" s="153"/>
      <c r="R45" s="50"/>
      <c r="S45" s="42">
        <v>0</v>
      </c>
      <c r="T45" s="153"/>
      <c r="U45" s="50"/>
      <c r="V45" s="42">
        <f>SUM(J45:U45)</f>
        <v>0</v>
      </c>
      <c r="W45" s="6"/>
    </row>
    <row r="46" spans="1:23" ht="15.75">
      <c r="A46" s="21"/>
      <c r="B46" s="21"/>
      <c r="C46" s="27" t="s">
        <v>27</v>
      </c>
      <c r="D46" s="28"/>
      <c r="E46" s="28"/>
      <c r="F46" s="28"/>
      <c r="G46" s="28"/>
      <c r="H46" s="28"/>
      <c r="I46" s="28"/>
      <c r="J46" s="53">
        <f>SUM(J44:J45)</f>
        <v>0</v>
      </c>
      <c r="K46" s="155"/>
      <c r="L46" s="174"/>
      <c r="M46" s="53">
        <f>SUM(M44:M45)</f>
        <v>0</v>
      </c>
      <c r="N46" s="155"/>
      <c r="O46" s="48"/>
      <c r="P46" s="53">
        <f>SUM(P44:P45)</f>
        <v>0</v>
      </c>
      <c r="Q46" s="155"/>
      <c r="R46" s="48"/>
      <c r="S46" s="53">
        <f>SUM(S44:S45)</f>
        <v>0</v>
      </c>
      <c r="T46" s="155"/>
      <c r="U46" s="48"/>
      <c r="V46" s="53">
        <f>SUM(J46:U46)</f>
        <v>0</v>
      </c>
      <c r="W46" s="29"/>
    </row>
    <row r="47" spans="1:23" ht="9" customHeight="1">
      <c r="A47" s="1"/>
      <c r="B47" s="1"/>
      <c r="C47" s="28"/>
      <c r="D47" s="26"/>
      <c r="E47" s="26"/>
      <c r="F47" s="26"/>
      <c r="G47" s="26"/>
      <c r="H47" s="26"/>
      <c r="I47" s="26"/>
      <c r="J47" s="52"/>
      <c r="K47" s="152"/>
      <c r="L47" s="171"/>
      <c r="M47" s="46"/>
      <c r="N47" s="152"/>
      <c r="O47" s="46"/>
      <c r="P47" s="46"/>
      <c r="Q47" s="152"/>
      <c r="R47" s="46"/>
      <c r="S47" s="46"/>
      <c r="T47" s="152"/>
      <c r="U47" s="46"/>
      <c r="V47" s="46"/>
      <c r="W47" s="6"/>
    </row>
    <row r="48" spans="1:23" ht="15.75">
      <c r="A48" s="22" t="s">
        <v>28</v>
      </c>
      <c r="B48" s="22" t="s">
        <v>29</v>
      </c>
      <c r="C48" s="1"/>
      <c r="D48" s="21"/>
      <c r="E48" s="21"/>
      <c r="F48" s="21"/>
      <c r="G48" s="1"/>
      <c r="H48" s="1"/>
      <c r="I48" s="1"/>
      <c r="J48" s="54" t="s">
        <v>1</v>
      </c>
      <c r="K48" s="153"/>
      <c r="L48" s="172"/>
      <c r="M48" s="45" t="s">
        <v>1</v>
      </c>
      <c r="N48" s="153"/>
      <c r="O48" s="50"/>
      <c r="P48" s="45" t="s">
        <v>1</v>
      </c>
      <c r="Q48" s="153"/>
      <c r="R48" s="50"/>
      <c r="S48" s="45" t="s">
        <v>1</v>
      </c>
      <c r="T48" s="153"/>
      <c r="U48" s="50"/>
      <c r="V48" s="45"/>
      <c r="W48" s="5"/>
    </row>
    <row r="49" spans="1:23" ht="15.75">
      <c r="A49" s="21"/>
      <c r="B49" s="21"/>
      <c r="C49" s="13" t="s">
        <v>30</v>
      </c>
      <c r="D49" s="10" t="s">
        <v>26</v>
      </c>
      <c r="E49" s="31"/>
      <c r="F49" s="31"/>
      <c r="J49" s="42">
        <v>0</v>
      </c>
      <c r="K49" s="153"/>
      <c r="L49" s="172"/>
      <c r="M49" s="42">
        <f>ROUND((J49*1.02),0)</f>
        <v>0</v>
      </c>
      <c r="N49" s="163"/>
      <c r="O49" s="143"/>
      <c r="P49" s="42">
        <f>ROUND((M49*1.02),0)</f>
        <v>0</v>
      </c>
      <c r="Q49" s="163"/>
      <c r="R49" s="143"/>
      <c r="S49" s="42">
        <f>ROUND((P49*1.02),0)</f>
        <v>0</v>
      </c>
      <c r="T49" s="163"/>
      <c r="U49" s="143"/>
      <c r="V49" s="42">
        <f>SUM(J49:U49)</f>
        <v>0</v>
      </c>
      <c r="W49" s="5"/>
    </row>
    <row r="50" spans="1:23" ht="15.75">
      <c r="A50" s="21"/>
      <c r="B50" s="21"/>
      <c r="C50" s="13" t="s">
        <v>31</v>
      </c>
      <c r="D50" s="10" t="s">
        <v>26</v>
      </c>
      <c r="E50" s="31"/>
      <c r="F50" s="31"/>
      <c r="J50" s="42">
        <v>0</v>
      </c>
      <c r="K50" s="153"/>
      <c r="L50" s="172"/>
      <c r="M50" s="42">
        <f>ROUND((J50*1.02),0)</f>
        <v>0</v>
      </c>
      <c r="N50" s="163"/>
      <c r="O50" s="143"/>
      <c r="P50" s="42">
        <f>ROUND((M50*1.02),0)</f>
        <v>0</v>
      </c>
      <c r="Q50" s="163"/>
      <c r="R50" s="143"/>
      <c r="S50" s="42">
        <f>ROUND((P50*1.02),0)</f>
        <v>0</v>
      </c>
      <c r="T50" s="163"/>
      <c r="U50" s="143"/>
      <c r="V50" s="42">
        <f>SUM(J50:U50)</f>
        <v>0</v>
      </c>
      <c r="W50" s="5"/>
    </row>
    <row r="51" spans="1:23" s="31" customFormat="1" ht="15.75">
      <c r="A51" s="21"/>
      <c r="B51" s="21"/>
      <c r="C51" s="27" t="s">
        <v>32</v>
      </c>
      <c r="D51" s="28"/>
      <c r="E51" s="28"/>
      <c r="F51" s="28"/>
      <c r="G51" s="28"/>
      <c r="H51" s="28"/>
      <c r="I51" s="28"/>
      <c r="J51" s="53">
        <f>SUM(J49:J50)</f>
        <v>0</v>
      </c>
      <c r="K51" s="155"/>
      <c r="L51" s="174"/>
      <c r="M51" s="55">
        <f>SUM(M49:M50)</f>
        <v>0</v>
      </c>
      <c r="N51" s="155"/>
      <c r="O51" s="48"/>
      <c r="P51" s="55">
        <f>SUM(P49:P50)</f>
        <v>0</v>
      </c>
      <c r="Q51" s="155"/>
      <c r="R51" s="48"/>
      <c r="S51" s="55">
        <f>SUM(S49:S50)</f>
        <v>0</v>
      </c>
      <c r="T51" s="155"/>
      <c r="U51" s="48"/>
      <c r="V51" s="55">
        <f>SUM(J51:U51)</f>
        <v>0</v>
      </c>
      <c r="W51" s="29"/>
    </row>
    <row r="52" spans="1:23" ht="10.5" customHeight="1">
      <c r="A52" s="1"/>
      <c r="B52" s="1"/>
      <c r="C52" s="28"/>
      <c r="D52" s="26"/>
      <c r="E52" s="26"/>
      <c r="F52" s="26"/>
      <c r="G52" s="26"/>
      <c r="H52" s="26"/>
      <c r="I52" s="26"/>
      <c r="J52" s="52"/>
      <c r="K52" s="152"/>
      <c r="L52" s="171"/>
      <c r="M52" s="42"/>
      <c r="N52" s="152"/>
      <c r="O52" s="46"/>
      <c r="P52" s="42"/>
      <c r="Q52" s="152"/>
      <c r="R52" s="46"/>
      <c r="S52" s="42"/>
      <c r="T52" s="152"/>
      <c r="U52" s="46"/>
      <c r="V52" s="42"/>
      <c r="W52" s="6"/>
    </row>
    <row r="53" spans="1:23" ht="15.75">
      <c r="A53" s="22" t="s">
        <v>33</v>
      </c>
      <c r="B53" s="22" t="s">
        <v>34</v>
      </c>
      <c r="C53" s="21"/>
      <c r="D53" s="21"/>
      <c r="E53" s="21"/>
      <c r="F53" s="21"/>
      <c r="G53" s="1"/>
      <c r="H53" s="1"/>
      <c r="I53" s="1"/>
      <c r="J53" s="54" t="s">
        <v>1</v>
      </c>
      <c r="K53" s="153"/>
      <c r="L53" s="172"/>
      <c r="M53" s="42" t="s">
        <v>1</v>
      </c>
      <c r="N53" s="153"/>
      <c r="O53" s="50"/>
      <c r="P53" s="42" t="s">
        <v>1</v>
      </c>
      <c r="Q53" s="153"/>
      <c r="R53" s="50"/>
      <c r="S53" s="42" t="s">
        <v>1</v>
      </c>
      <c r="T53" s="153"/>
      <c r="U53" s="50"/>
      <c r="V53" s="42"/>
      <c r="W53" s="5"/>
    </row>
    <row r="54" spans="1:23" ht="15.75">
      <c r="A54" s="21"/>
      <c r="B54" s="21"/>
      <c r="C54" s="13" t="s">
        <v>35</v>
      </c>
      <c r="D54" s="3"/>
      <c r="E54" s="31"/>
      <c r="F54" s="31"/>
      <c r="J54" s="42">
        <v>0</v>
      </c>
      <c r="K54" s="153"/>
      <c r="L54" s="172"/>
      <c r="M54" s="42">
        <f>ROUND((J54*1.02),0)</f>
        <v>0</v>
      </c>
      <c r="N54" s="163"/>
      <c r="O54" s="143"/>
      <c r="P54" s="42">
        <f>ROUND((M54*1.02),0)</f>
        <v>0</v>
      </c>
      <c r="Q54" s="163"/>
      <c r="R54" s="143"/>
      <c r="S54" s="42">
        <f>ROUND((P54*1.02),0)</f>
        <v>0</v>
      </c>
      <c r="T54" s="163"/>
      <c r="U54" s="143"/>
      <c r="V54" s="42">
        <f aca="true" t="shared" si="10" ref="V54:V65">SUM(J54:U54)</f>
        <v>0</v>
      </c>
      <c r="W54" s="5"/>
    </row>
    <row r="55" spans="1:23" ht="15.75">
      <c r="A55" s="21"/>
      <c r="B55" s="21"/>
      <c r="C55" s="13" t="s">
        <v>36</v>
      </c>
      <c r="D55" s="3"/>
      <c r="E55" s="31"/>
      <c r="F55" s="31"/>
      <c r="J55" s="42">
        <v>0</v>
      </c>
      <c r="K55" s="153"/>
      <c r="L55" s="172"/>
      <c r="M55" s="42">
        <f aca="true" t="shared" si="11" ref="M55:M60">ROUND((J55*1.02),0)</f>
        <v>0</v>
      </c>
      <c r="N55" s="163"/>
      <c r="O55" s="143"/>
      <c r="P55" s="42">
        <f aca="true" t="shared" si="12" ref="P55:P60">ROUND((M55*1.02),0)</f>
        <v>0</v>
      </c>
      <c r="Q55" s="163"/>
      <c r="R55" s="143"/>
      <c r="S55" s="42">
        <f aca="true" t="shared" si="13" ref="S55:S60">ROUND((P55*1.02),0)</f>
        <v>0</v>
      </c>
      <c r="T55" s="163"/>
      <c r="U55" s="143"/>
      <c r="V55" s="42">
        <f t="shared" si="10"/>
        <v>0</v>
      </c>
      <c r="W55" s="5"/>
    </row>
    <row r="56" spans="1:23" ht="15.75">
      <c r="A56" s="21"/>
      <c r="B56" s="21"/>
      <c r="C56" s="13" t="s">
        <v>37</v>
      </c>
      <c r="D56" s="3"/>
      <c r="E56" s="31"/>
      <c r="F56" s="31"/>
      <c r="J56" s="42">
        <v>0</v>
      </c>
      <c r="K56" s="153"/>
      <c r="L56" s="172"/>
      <c r="M56" s="42">
        <f t="shared" si="11"/>
        <v>0</v>
      </c>
      <c r="N56" s="163"/>
      <c r="O56" s="143"/>
      <c r="P56" s="42">
        <f t="shared" si="12"/>
        <v>0</v>
      </c>
      <c r="Q56" s="164"/>
      <c r="R56" s="42"/>
      <c r="S56" s="42">
        <f t="shared" si="13"/>
        <v>0</v>
      </c>
      <c r="T56" s="164"/>
      <c r="U56" s="42"/>
      <c r="V56" s="42">
        <f t="shared" si="10"/>
        <v>0</v>
      </c>
      <c r="W56" s="5"/>
    </row>
    <row r="57" spans="1:23" ht="15.75">
      <c r="A57" s="21"/>
      <c r="B57" s="21"/>
      <c r="C57" s="13" t="s">
        <v>277</v>
      </c>
      <c r="D57" s="3"/>
      <c r="E57" s="31"/>
      <c r="F57" s="31"/>
      <c r="J57" s="42">
        <v>0</v>
      </c>
      <c r="K57" s="153"/>
      <c r="L57" s="172"/>
      <c r="M57" s="42">
        <f t="shared" si="11"/>
        <v>0</v>
      </c>
      <c r="N57" s="163"/>
      <c r="O57" s="143"/>
      <c r="P57" s="42">
        <f t="shared" si="12"/>
        <v>0</v>
      </c>
      <c r="Q57" s="163"/>
      <c r="R57" s="143"/>
      <c r="S57" s="42">
        <f t="shared" si="13"/>
        <v>0</v>
      </c>
      <c r="T57" s="163"/>
      <c r="U57" s="143"/>
      <c r="V57" s="42">
        <f t="shared" si="10"/>
        <v>0</v>
      </c>
      <c r="W57" s="5"/>
    </row>
    <row r="58" spans="1:23" ht="15.75">
      <c r="A58" s="21"/>
      <c r="B58" s="21"/>
      <c r="C58" s="225" t="s">
        <v>100</v>
      </c>
      <c r="D58" s="3"/>
      <c r="E58" s="31"/>
      <c r="F58" s="31"/>
      <c r="J58" s="42">
        <v>0</v>
      </c>
      <c r="K58" s="153"/>
      <c r="L58" s="172"/>
      <c r="M58" s="42">
        <f t="shared" si="11"/>
        <v>0</v>
      </c>
      <c r="N58" s="163"/>
      <c r="O58" s="143"/>
      <c r="P58" s="42">
        <f t="shared" si="12"/>
        <v>0</v>
      </c>
      <c r="Q58" s="163"/>
      <c r="R58" s="143"/>
      <c r="S58" s="42">
        <f t="shared" si="13"/>
        <v>0</v>
      </c>
      <c r="T58" s="163"/>
      <c r="U58" s="143"/>
      <c r="V58" s="42">
        <f t="shared" si="10"/>
        <v>0</v>
      </c>
      <c r="W58" s="5"/>
    </row>
    <row r="59" spans="1:23" ht="15.75">
      <c r="A59" s="21"/>
      <c r="B59" s="21"/>
      <c r="C59" s="13" t="s">
        <v>276</v>
      </c>
      <c r="D59" s="3"/>
      <c r="E59" s="31"/>
      <c r="F59" s="31"/>
      <c r="J59" s="42">
        <v>0</v>
      </c>
      <c r="K59" s="153"/>
      <c r="L59" s="172"/>
      <c r="M59" s="42">
        <f t="shared" si="11"/>
        <v>0</v>
      </c>
      <c r="N59" s="164"/>
      <c r="O59" s="42"/>
      <c r="P59" s="42">
        <f t="shared" si="12"/>
        <v>0</v>
      </c>
      <c r="Q59" s="164"/>
      <c r="R59" s="42"/>
      <c r="S59" s="42">
        <f t="shared" si="13"/>
        <v>0</v>
      </c>
      <c r="T59" s="164"/>
      <c r="U59" s="42"/>
      <c r="V59" s="42">
        <f t="shared" si="10"/>
        <v>0</v>
      </c>
      <c r="W59" s="5"/>
    </row>
    <row r="60" spans="1:23" ht="15.75">
      <c r="A60" s="21"/>
      <c r="B60" s="21"/>
      <c r="C60" s="13" t="s">
        <v>38</v>
      </c>
      <c r="D60" s="21"/>
      <c r="E60" s="21"/>
      <c r="F60" s="21"/>
      <c r="G60" s="1"/>
      <c r="H60" s="1"/>
      <c r="I60" s="1"/>
      <c r="J60" s="42">
        <v>0</v>
      </c>
      <c r="K60" s="153"/>
      <c r="L60" s="172"/>
      <c r="M60" s="42">
        <f t="shared" si="11"/>
        <v>0</v>
      </c>
      <c r="N60" s="164"/>
      <c r="O60" s="42"/>
      <c r="P60" s="42">
        <f t="shared" si="12"/>
        <v>0</v>
      </c>
      <c r="Q60" s="164"/>
      <c r="R60" s="42"/>
      <c r="S60" s="42">
        <f t="shared" si="13"/>
        <v>0</v>
      </c>
      <c r="T60" s="164"/>
      <c r="U60" s="42"/>
      <c r="V60" s="42">
        <f t="shared" si="10"/>
        <v>0</v>
      </c>
      <c r="W60" s="5"/>
    </row>
    <row r="61" spans="1:24" ht="15.75">
      <c r="A61" s="21"/>
      <c r="B61" s="21"/>
      <c r="C61" s="22" t="s">
        <v>39</v>
      </c>
      <c r="D61" s="10"/>
      <c r="E61" s="31"/>
      <c r="F61" s="31"/>
      <c r="J61" s="42">
        <v>0</v>
      </c>
      <c r="K61" s="153"/>
      <c r="L61" s="172"/>
      <c r="M61" s="42">
        <v>0</v>
      </c>
      <c r="N61" s="163"/>
      <c r="O61" s="143"/>
      <c r="P61" s="42">
        <v>0</v>
      </c>
      <c r="Q61" s="163"/>
      <c r="R61" s="143"/>
      <c r="S61" s="42">
        <v>0</v>
      </c>
      <c r="T61" s="163"/>
      <c r="U61" s="143"/>
      <c r="V61" s="42">
        <f t="shared" si="10"/>
        <v>0</v>
      </c>
      <c r="W61" s="5"/>
      <c r="X61" s="76"/>
    </row>
    <row r="62" spans="1:24" ht="15.75">
      <c r="A62" s="21"/>
      <c r="B62" s="21"/>
      <c r="C62" s="63" t="s">
        <v>40</v>
      </c>
      <c r="D62" s="10"/>
      <c r="E62" s="31"/>
      <c r="F62" s="31"/>
      <c r="J62" s="42">
        <v>0</v>
      </c>
      <c r="K62" s="153"/>
      <c r="L62" s="172"/>
      <c r="M62" s="42">
        <v>0</v>
      </c>
      <c r="N62" s="163"/>
      <c r="O62" s="143"/>
      <c r="P62" s="42">
        <v>0</v>
      </c>
      <c r="Q62" s="163"/>
      <c r="R62" s="143"/>
      <c r="S62" s="42">
        <v>0</v>
      </c>
      <c r="T62" s="163"/>
      <c r="U62" s="143"/>
      <c r="V62" s="42">
        <f t="shared" si="10"/>
        <v>0</v>
      </c>
      <c r="W62" s="5"/>
      <c r="X62" s="76"/>
    </row>
    <row r="63" spans="1:24" ht="15.75">
      <c r="A63" s="21"/>
      <c r="B63" s="21"/>
      <c r="C63" s="63" t="s">
        <v>93</v>
      </c>
      <c r="D63" s="10"/>
      <c r="E63" s="31"/>
      <c r="F63" s="31"/>
      <c r="J63" s="42">
        <v>0</v>
      </c>
      <c r="K63" s="153"/>
      <c r="L63" s="172"/>
      <c r="M63" s="42">
        <v>0</v>
      </c>
      <c r="N63" s="163"/>
      <c r="O63" s="143"/>
      <c r="P63" s="42">
        <v>0</v>
      </c>
      <c r="Q63" s="163"/>
      <c r="R63" s="143"/>
      <c r="S63" s="42">
        <v>0</v>
      </c>
      <c r="T63" s="163"/>
      <c r="U63" s="143"/>
      <c r="V63" s="42">
        <f t="shared" si="10"/>
        <v>0</v>
      </c>
      <c r="W63" s="5"/>
      <c r="X63" s="76"/>
    </row>
    <row r="64" spans="1:24" ht="15.75">
      <c r="A64" s="21"/>
      <c r="B64" s="21"/>
      <c r="C64" s="63" t="s">
        <v>94</v>
      </c>
      <c r="D64" s="10"/>
      <c r="E64" s="31"/>
      <c r="F64" s="31"/>
      <c r="J64" s="42">
        <v>0</v>
      </c>
      <c r="K64" s="153"/>
      <c r="L64" s="172"/>
      <c r="M64" s="42">
        <v>0</v>
      </c>
      <c r="N64" s="163"/>
      <c r="O64" s="143"/>
      <c r="P64" s="42">
        <v>0</v>
      </c>
      <c r="Q64" s="163"/>
      <c r="R64" s="143"/>
      <c r="S64" s="42">
        <v>0</v>
      </c>
      <c r="T64" s="163"/>
      <c r="U64" s="143"/>
      <c r="V64" s="42">
        <f t="shared" si="10"/>
        <v>0</v>
      </c>
      <c r="W64" s="5"/>
      <c r="X64" s="76"/>
    </row>
    <row r="65" spans="1:24" ht="15.75">
      <c r="A65" s="40" t="s">
        <v>41</v>
      </c>
      <c r="D65" s="28"/>
      <c r="E65" s="28"/>
      <c r="F65" s="28"/>
      <c r="G65" s="28"/>
      <c r="H65" s="28"/>
      <c r="I65" s="28"/>
      <c r="J65" s="51">
        <f>SUM(J54:J64)</f>
        <v>0</v>
      </c>
      <c r="K65" s="156"/>
      <c r="L65" s="175"/>
      <c r="M65" s="43">
        <f>SUM(M54:M64)</f>
        <v>0</v>
      </c>
      <c r="N65" s="156"/>
      <c r="O65" s="44"/>
      <c r="P65" s="43">
        <f>SUM(P54:P64)</f>
        <v>0</v>
      </c>
      <c r="Q65" s="156"/>
      <c r="R65" s="44"/>
      <c r="S65" s="43">
        <f>SUM(S54:S64)</f>
        <v>0</v>
      </c>
      <c r="T65" s="156"/>
      <c r="U65" s="44"/>
      <c r="V65" s="43">
        <f t="shared" si="10"/>
        <v>0</v>
      </c>
      <c r="W65" s="34"/>
      <c r="X65" s="76"/>
    </row>
    <row r="66" spans="1:23" ht="7.5" customHeight="1">
      <c r="A66" s="21"/>
      <c r="B66" s="21"/>
      <c r="C66" s="26"/>
      <c r="D66" s="28"/>
      <c r="E66" s="28"/>
      <c r="F66" s="28"/>
      <c r="G66" s="26"/>
      <c r="H66" s="26"/>
      <c r="I66" s="26"/>
      <c r="J66" s="52"/>
      <c r="K66" s="152"/>
      <c r="L66" s="171"/>
      <c r="M66" s="46"/>
      <c r="N66" s="152"/>
      <c r="O66" s="46"/>
      <c r="P66" s="46"/>
      <c r="Q66" s="152"/>
      <c r="R66" s="46"/>
      <c r="S66" s="46"/>
      <c r="T66" s="152"/>
      <c r="U66" s="46"/>
      <c r="V66" s="46" t="s">
        <v>1</v>
      </c>
      <c r="W66" s="6"/>
    </row>
    <row r="67" spans="1:23" ht="16.5">
      <c r="A67" s="28"/>
      <c r="B67" s="28"/>
      <c r="C67" s="28"/>
      <c r="D67" s="21"/>
      <c r="E67" s="32" t="s">
        <v>42</v>
      </c>
      <c r="F67" s="32"/>
      <c r="G67" s="39"/>
      <c r="H67" s="39"/>
      <c r="I67" s="39"/>
      <c r="J67" s="65">
        <f>ROUND(+J65+J51+J46+J41,0)</f>
        <v>0</v>
      </c>
      <c r="K67" s="157"/>
      <c r="L67" s="176"/>
      <c r="M67" s="65">
        <f>ROUND(+M65+M51+M46+M41,0)</f>
        <v>0</v>
      </c>
      <c r="N67" s="157"/>
      <c r="O67" s="65"/>
      <c r="P67" s="65">
        <f>ROUND(+P65+P51+P46+P41,0)</f>
        <v>0</v>
      </c>
      <c r="Q67" s="157"/>
      <c r="R67" s="65"/>
      <c r="S67" s="65">
        <f>ROUND(+S65+S51+S46+S41,0)</f>
        <v>0</v>
      </c>
      <c r="T67" s="157"/>
      <c r="U67" s="65"/>
      <c r="V67" s="65">
        <f>SUM(J67:U67)</f>
        <v>0</v>
      </c>
      <c r="W67" s="34"/>
    </row>
    <row r="68" spans="1:22" ht="7.5" customHeight="1">
      <c r="A68" s="28"/>
      <c r="B68" s="28"/>
      <c r="C68" s="28"/>
      <c r="D68" s="21"/>
      <c r="E68" s="32"/>
      <c r="F68" s="32"/>
      <c r="G68" s="39"/>
      <c r="H68" s="39"/>
      <c r="I68" s="39"/>
      <c r="J68" s="66"/>
      <c r="K68" s="157"/>
      <c r="L68" s="176"/>
      <c r="M68" s="65"/>
      <c r="N68" s="165"/>
      <c r="O68" s="190"/>
      <c r="P68" s="65"/>
      <c r="Q68" s="165"/>
      <c r="R68" s="190"/>
      <c r="S68" s="65"/>
      <c r="T68" s="165"/>
      <c r="U68" s="190"/>
      <c r="V68" s="65"/>
    </row>
    <row r="69" spans="1:24" ht="15.75">
      <c r="A69" s="28"/>
      <c r="B69" s="28"/>
      <c r="C69" s="28"/>
      <c r="D69" s="21"/>
      <c r="G69" s="39"/>
      <c r="H69" s="92" t="s">
        <v>115</v>
      </c>
      <c r="I69" s="39"/>
      <c r="J69" s="74">
        <f>(IF((J61)&gt;25000,(25000),J61)+((IF((J62)&gt;25000,(25000),J62))+((IF((J63)&gt;25000,(25000),J63))+((IF((J64)&gt;25000,(25000),J64))+SUM(J67-J46-J58-J61-J62-J63-J64)))))</f>
        <v>0</v>
      </c>
      <c r="K69" s="158"/>
      <c r="L69" s="177"/>
      <c r="M69" s="74">
        <f>IF(J61&gt;=(25000),0,((IF((J61+M61)&lt;=(25000),M61,(25000-J61)))))+IF(J62&gt;=(25000),0,((IF((J62+M62)&lt;=(25000),M62,(25000-J62)))))+IF(J63&gt;=(25000),0,((IF((J63+M63)&lt;=(25000),M63,(25000-J63)))))+IF(J64&gt;=(25000),0,((IF((J64+M64)&lt;=(25000),M64,(25000-J64)))))+SUM(M67-M46-M58-M61-M62-M63-M64)</f>
        <v>0</v>
      </c>
      <c r="N69" s="158"/>
      <c r="O69" s="191"/>
      <c r="P69" s="74">
        <f>IF(J61&gt;=(25000),0,(((IF((J61+M61)&gt;=(25000),0,((IF((J61+M61+P61)&lt;=(25000),P61,(25000-SUM(J61+M61))))))))))+IF(J62&gt;=(25000),0,(((IF((J62+M62)&gt;=(25000),0,((IF((J62+M62+P62)&lt;(25000),P62,(25000-SUM(J62+M62))))))))))+IF(J63&gt;=(25000),0,(((IF((J63+M63)&gt;=(25000),0,((IF((J63+M63+P63)&lt;(25000),P63,(25000-SUM(J63+M63))))))))))+IF(J64&gt;=(25000),0,(((IF((J64+M64)&gt;=(25000),0,((IF((J64+M64+P64)&lt;(25000),P64,(25000-SUM(J64+M64))))))))))+SUM(P67-P46-P58-P61-P62-P63-P64)</f>
        <v>0</v>
      </c>
      <c r="Q69" s="158"/>
      <c r="R69" s="191"/>
      <c r="S69" s="74">
        <f>IF(J61&gt;=(25000),0,(((IF((J61+M61)&gt;=(25000),0,((IF((J61+M61+P61)&gt;=(25000),0,(IF((J61+M61+P61+S61)&lt;=(25000),S61,(25000-SUM(J61+M61+P61))))))))))))+IF(J62&gt;=(25000),0,(((IF((J62+M62)&gt;=(25000),0,((IF((J62+M62+P62)&gt;=(25000),0,(IF((J62+M62+P62+S62)&lt;=(25000),S62,(25000-SUM(J62+M62+P62))))))))))))+IF(J63&gt;=(25000),0,(((IF((J63+M63)&gt;=(25000),0,((IF((J63+M63+P63)&gt;=(25000),0,(IF((J63+M63+P63+S63)&lt;=(25000),S63,(25000-SUM(J63+M63+P63))))))))))))+IF(J64&gt;=(25000),0,(((IF((J64+M64)&gt;=(25000),0,((IF((J64+M64+P64)&gt;=(25000),0,(IF((J64+M64+P64+S64)&lt;=(25000),S64,(25000-SUM(J64+M64+P64))))))))))))+SUM(S67-S46-S58-S61-S62-S63-S64)</f>
        <v>0</v>
      </c>
      <c r="T69" s="158"/>
      <c r="U69" s="191"/>
      <c r="V69" s="74">
        <f>SUM(J69:U69)</f>
        <v>0</v>
      </c>
      <c r="X69" s="76"/>
    </row>
    <row r="70" spans="1:25" ht="15.75">
      <c r="A70" s="33" t="s">
        <v>114</v>
      </c>
      <c r="B70" s="1"/>
      <c r="C70" s="1"/>
      <c r="J70" s="42"/>
      <c r="K70" s="159"/>
      <c r="L70" s="178"/>
      <c r="M70" s="50"/>
      <c r="N70" s="159"/>
      <c r="O70" s="56"/>
      <c r="P70" s="50"/>
      <c r="Q70" s="159"/>
      <c r="R70" s="56"/>
      <c r="S70" s="50"/>
      <c r="T70" s="159"/>
      <c r="U70" s="56"/>
      <c r="V70" s="50"/>
      <c r="W70" s="5"/>
      <c r="Y70" s="75"/>
    </row>
    <row r="71" spans="1:23" ht="15.75">
      <c r="A71" s="13" t="s">
        <v>117</v>
      </c>
      <c r="B71" s="1"/>
      <c r="D71" s="7">
        <f>IF(AND(($E$82)="R",($E$84)="C"),('RATES-Non Fed'!E48),IF(AND(($E$82)="R",($E$84)="O"),('RATES-Non Fed'!E53),IF(AND(($E$82)="I",($E$84)="C"),('RATES-Non Fed'!E49),IF(AND(($E$82)="I",($E$84)="O"),('RATES-Non Fed'!E54),IF(AND(($E$82)="P",($E$84)="C"),('RATES-Non Fed'!E50),IF(AND(($E$82)="P",($E$84)="O"),('RATES-Non Fed'!E55),($E$83)))))))</f>
        <v>0.605</v>
      </c>
      <c r="E71" s="7">
        <f>IF(AND(($E$82)="R",($E$84)="C"),('RATES-Non Fed'!G48),IF(AND(($E$82)="R",($E$84)="O"),('RATES-Non Fed'!G53),IF(AND(($E$82)="I",($E$84)="C"),('RATES-Non Fed'!G49),IF(AND(($E$82)="I",($E$84)="O"),('RATES-Non Fed'!G54),IF(AND(($E$82)="P",($E$84)="C"),('RATES-Non Fed'!G50),IF(AND(($E$82)="P",($E$84)="O"),('RATES-Non Fed'!G55),($E$83)))))))</f>
        <v>0.62</v>
      </c>
      <c r="F71" s="7">
        <f>IF(AND(($E$82)="R",($E$84)="C"),('RATES-Non Fed'!I48),IF(AND(($E$82)="R",($E$84)="O"),('RATES-Non Fed'!I53),IF(AND(($E$82)="I",($E$84)="C"),('RATES-Non Fed'!I49),IF(AND(($E$82)="I",($E$84)="O"),('RATES-Non Fed'!I54),IF(AND(($E$82)="P",($E$84)="C"),('RATES-Non Fed'!I50),IF(AND(($E$82)="P",($E$84)="O"),('RATES-Non Fed'!I55),($E$83)))))))</f>
        <v>0.62</v>
      </c>
      <c r="G71" s="7">
        <f>IF(AND(($E$82)="R",($E$84)="C"),('RATES-Non Fed'!K48),IF(AND(($E$82)="R",($E$84)="O"),('RATES-Non Fed'!K53),IF(AND(($E$82)="I",($E$84)="C"),('RATES-Non Fed'!K49),IF(AND(($E$82)="I",($E$84)="O"),('RATES-Non Fed'!K54),IF(AND(($E$82)="P",($E$84)="C"),('RATES-Non Fed'!K50),IF(AND(($E$82)="P",($E$84)="O"),('RATES-Non Fed'!K55),($E$83)))))))</f>
        <v>0.62</v>
      </c>
      <c r="H71" s="7"/>
      <c r="J71" s="50">
        <f>ROUND(+D71*(J67-J46-J61-J62-J63-J64-J58),0)</f>
        <v>0</v>
      </c>
      <c r="K71" s="153"/>
      <c r="L71" s="172"/>
      <c r="M71" s="50">
        <f>ROUND(+E71*(M67-M46-M61-M62-M63-M64-M58),0)</f>
        <v>0</v>
      </c>
      <c r="N71" s="153"/>
      <c r="O71" s="50"/>
      <c r="P71" s="50">
        <f>ROUND(+F71*(P67-P46-P61-P62-P63-P64-P58),0)</f>
        <v>0</v>
      </c>
      <c r="Q71" s="153"/>
      <c r="R71" s="50"/>
      <c r="S71" s="50">
        <f>ROUND(+G71*(S67-S46-S61-S62-S63-S64-S58),0)</f>
        <v>0</v>
      </c>
      <c r="T71" s="153"/>
      <c r="U71" s="50"/>
      <c r="V71" s="50">
        <f aca="true" t="shared" si="14" ref="V71:V76">SUM(J71:U71)</f>
        <v>0</v>
      </c>
      <c r="W71" s="5"/>
    </row>
    <row r="72" spans="1:23" ht="15.75">
      <c r="A72" s="13" t="s">
        <v>43</v>
      </c>
      <c r="D72" s="7">
        <f aca="true" t="shared" si="15" ref="D72:G74">+D71</f>
        <v>0.605</v>
      </c>
      <c r="E72" s="7">
        <f t="shared" si="15"/>
        <v>0.62</v>
      </c>
      <c r="F72" s="7">
        <f t="shared" si="15"/>
        <v>0.62</v>
      </c>
      <c r="G72" s="7">
        <f t="shared" si="15"/>
        <v>0.62</v>
      </c>
      <c r="H72" s="7"/>
      <c r="J72" s="50">
        <f>(IF((J61)&gt;25000,(25000),J61)*D72)</f>
        <v>0</v>
      </c>
      <c r="K72" s="50"/>
      <c r="L72" s="50"/>
      <c r="M72" s="50">
        <f>IF(J61&gt;=(25000),0,((IF((J61+M61)&lt;=(25000),M61,(25000-J61))))*E72)</f>
        <v>0</v>
      </c>
      <c r="N72" s="261"/>
      <c r="O72" s="50"/>
      <c r="P72" s="50">
        <f>IF(J61&gt;=(25000),0,(((IF((J61+M61)&gt;=(25000),0,((IF((J61+M61+P61)&lt;=(25000),P61,(25000-SUM(J61+M61)))))))))*F72)</f>
        <v>0</v>
      </c>
      <c r="Q72" s="261"/>
      <c r="R72" s="50"/>
      <c r="S72" s="50">
        <f>IF(J61&gt;=(25000),0,(((IF((J61+M61)&gt;=(25000),0,((IF((J61+M61+P61)&gt;=(25000),0,(IF((J61+M61+P61+S61)&lt;=(25000),S61,(25000-SUM(J61+M61+P61)))))))))))*G72)</f>
        <v>0</v>
      </c>
      <c r="T72" s="153"/>
      <c r="U72" s="50"/>
      <c r="V72" s="50">
        <f t="shared" si="14"/>
        <v>0</v>
      </c>
      <c r="W72" s="5"/>
    </row>
    <row r="73" spans="1:23" ht="15.75">
      <c r="A73" s="13" t="s">
        <v>44</v>
      </c>
      <c r="D73" s="7">
        <f t="shared" si="15"/>
        <v>0.605</v>
      </c>
      <c r="E73" s="7">
        <f t="shared" si="15"/>
        <v>0.62</v>
      </c>
      <c r="F73" s="7">
        <f t="shared" si="15"/>
        <v>0.62</v>
      </c>
      <c r="G73" s="7">
        <f t="shared" si="15"/>
        <v>0.62</v>
      </c>
      <c r="H73" s="7"/>
      <c r="J73" s="50">
        <f>(IF((J62)&gt;25000,(25000),J62)*D73)</f>
        <v>0</v>
      </c>
      <c r="K73" s="261"/>
      <c r="L73" s="172"/>
      <c r="M73" s="50">
        <f>IF(J62&gt;=(25000),0,((IF((J62+M62)&lt;=(25000),M62,(25000-J62))))*E73)</f>
        <v>0</v>
      </c>
      <c r="N73" s="261"/>
      <c r="O73" s="50"/>
      <c r="P73" s="50">
        <f>IF(J62&gt;=(25000),0,(((IF((J62+M62)&gt;=(25000),0,((IF((J62+M62+P62)&lt;=(25000),P62,(25000-SUM(J62+M62)))))))))*F73)</f>
        <v>0</v>
      </c>
      <c r="Q73" s="261"/>
      <c r="R73" s="50"/>
      <c r="S73" s="50">
        <f>IF(J62&gt;=(25000),0,(((IF((J62+M62)&gt;=(25000),0,((IF((J62+M62+P62)&gt;=(25000),0,(IF((J62+M62+P62+S62)&lt;=(25000),S62,(25000-SUM(J62+M62+P62)))))))))))*G73)</f>
        <v>0</v>
      </c>
      <c r="T73" s="153"/>
      <c r="U73" s="50"/>
      <c r="V73" s="50">
        <f t="shared" si="14"/>
        <v>0</v>
      </c>
      <c r="W73" s="5"/>
    </row>
    <row r="74" spans="1:23" ht="15.75">
      <c r="A74" s="13" t="s">
        <v>91</v>
      </c>
      <c r="D74" s="7">
        <f t="shared" si="15"/>
        <v>0.605</v>
      </c>
      <c r="E74" s="7">
        <f t="shared" si="15"/>
        <v>0.62</v>
      </c>
      <c r="F74" s="7">
        <f t="shared" si="15"/>
        <v>0.62</v>
      </c>
      <c r="G74" s="7">
        <f t="shared" si="15"/>
        <v>0.62</v>
      </c>
      <c r="H74" s="7"/>
      <c r="J74" s="50">
        <f>(IF((J63)&gt;25000,(25000),J63)*D74)</f>
        <v>0</v>
      </c>
      <c r="K74" s="261"/>
      <c r="L74" s="172"/>
      <c r="M74" s="50">
        <f>IF(J63&gt;=(25000),0,((IF((J63+M63)&lt;=(25000),M63,(25000-J63))))*E74)</f>
        <v>0</v>
      </c>
      <c r="N74" s="261"/>
      <c r="O74" s="50"/>
      <c r="P74" s="50">
        <f>IF(J63&gt;=(25000),0,(((IF((J63+M63)&gt;=(25000),0,((IF((J63+M63+P63)&lt;=(25000),P63,(25000-SUM(J63+M63)))))))))*F74)</f>
        <v>0</v>
      </c>
      <c r="Q74" s="261"/>
      <c r="R74" s="50"/>
      <c r="S74" s="50">
        <f>IF(J63&gt;=(25000),0,(((IF((J63+M63)&gt;=(25000),0,((IF((J63+M63+P63)&gt;=(25000),0,(IF((J63+M63+P63+S63)&lt;=(25000),S63,(25000-SUM(J63+M63+P63)))))))))))*G74)</f>
        <v>0</v>
      </c>
      <c r="T74" s="153"/>
      <c r="U74" s="50"/>
      <c r="V74" s="50">
        <f t="shared" si="14"/>
        <v>0</v>
      </c>
      <c r="W74" s="5"/>
    </row>
    <row r="75" spans="1:23" ht="15.75">
      <c r="A75" s="13" t="s">
        <v>92</v>
      </c>
      <c r="B75" s="1"/>
      <c r="C75" s="1"/>
      <c r="D75" s="7">
        <f>+D72</f>
        <v>0.605</v>
      </c>
      <c r="E75" s="7">
        <f>+E72</f>
        <v>0.62</v>
      </c>
      <c r="F75" s="7">
        <f>+F72</f>
        <v>0.62</v>
      </c>
      <c r="G75" s="7">
        <f>+G72</f>
        <v>0.62</v>
      </c>
      <c r="H75" s="7"/>
      <c r="J75" s="50">
        <f>(IF((J64)&gt;25000,(25000),J64)*D75)</f>
        <v>0</v>
      </c>
      <c r="K75" s="261"/>
      <c r="L75" s="172"/>
      <c r="M75" s="50">
        <f>IF(J64&gt;=(25000),0,((IF((J64+M64)&lt;=(25000),M64,(25000-J64))))*E75)</f>
        <v>0</v>
      </c>
      <c r="N75" s="261"/>
      <c r="O75" s="50"/>
      <c r="P75" s="50">
        <f>IF(J64&gt;=(25000),0,(((IF((J64+M64)&gt;=(25000),0,((IF((J64+M64+P64)&lt;=(25000),P64,(25000-SUM(J64+M64)))))))))*F75)</f>
        <v>0</v>
      </c>
      <c r="Q75" s="261"/>
      <c r="R75" s="50"/>
      <c r="S75" s="50">
        <f>IF(J64&gt;=(25000),0,(((IF((J64+M64)&gt;=(25000),0,((IF((J64+M64+P64)&gt;=(25000),0,(IF((J64+M64+P64+S64)&lt;=(25000),S64,(25000-SUM(J64+M64+P64)))))))))))*G75)</f>
        <v>0</v>
      </c>
      <c r="T75" s="153"/>
      <c r="U75" s="50"/>
      <c r="V75" s="50">
        <f t="shared" si="14"/>
        <v>0</v>
      </c>
      <c r="W75" s="5"/>
    </row>
    <row r="76" spans="1:23" ht="15.75">
      <c r="A76" s="40" t="s">
        <v>116</v>
      </c>
      <c r="B76" s="1"/>
      <c r="C76" s="24"/>
      <c r="D76" s="35"/>
      <c r="E76" s="7"/>
      <c r="F76" s="7"/>
      <c r="G76" s="7"/>
      <c r="H76" s="7"/>
      <c r="I76" s="7"/>
      <c r="J76" s="53">
        <f>SUM(J71:J75)</f>
        <v>0</v>
      </c>
      <c r="K76" s="156"/>
      <c r="L76" s="175"/>
      <c r="M76" s="53">
        <f>SUM(M71:M75)</f>
        <v>0</v>
      </c>
      <c r="N76" s="156"/>
      <c r="O76" s="44"/>
      <c r="P76" s="53">
        <f>SUM(P71:P75)</f>
        <v>0</v>
      </c>
      <c r="Q76" s="156"/>
      <c r="R76" s="44"/>
      <c r="S76" s="53">
        <f>SUM(S71:S75)</f>
        <v>0</v>
      </c>
      <c r="T76" s="156"/>
      <c r="U76" s="44"/>
      <c r="V76" s="53">
        <f t="shared" si="14"/>
        <v>0</v>
      </c>
      <c r="W76" s="5"/>
    </row>
    <row r="77" spans="1:23" ht="6.75" customHeight="1">
      <c r="A77" s="40"/>
      <c r="B77" s="1"/>
      <c r="C77" s="24"/>
      <c r="D77" s="35"/>
      <c r="E77" s="7"/>
      <c r="F77" s="7"/>
      <c r="G77" s="7"/>
      <c r="H77" s="7"/>
      <c r="I77" s="7"/>
      <c r="J77" s="61"/>
      <c r="K77" s="156"/>
      <c r="L77" s="175"/>
      <c r="M77" s="62"/>
      <c r="N77" s="156"/>
      <c r="O77" s="44"/>
      <c r="P77" s="62"/>
      <c r="Q77" s="156"/>
      <c r="R77" s="44"/>
      <c r="S77" s="62"/>
      <c r="T77" s="156"/>
      <c r="U77" s="44"/>
      <c r="V77" s="62"/>
      <c r="W77" s="5"/>
    </row>
    <row r="78" spans="1:23" ht="19.5" thickBot="1">
      <c r="A78" s="40"/>
      <c r="B78" s="1"/>
      <c r="C78" s="60" t="s">
        <v>45</v>
      </c>
      <c r="D78" s="35"/>
      <c r="E78" s="7"/>
      <c r="F78" s="7"/>
      <c r="G78" s="7"/>
      <c r="H78" s="7"/>
      <c r="I78" s="7"/>
      <c r="J78" s="72">
        <f>J76+J67</f>
        <v>0</v>
      </c>
      <c r="K78" s="157"/>
      <c r="L78" s="176"/>
      <c r="M78" s="72">
        <f>M76+M67</f>
        <v>0</v>
      </c>
      <c r="N78" s="157"/>
      <c r="O78" s="65"/>
      <c r="P78" s="72">
        <f>P76+P67</f>
        <v>0</v>
      </c>
      <c r="Q78" s="157"/>
      <c r="R78" s="65"/>
      <c r="S78" s="72">
        <f>S76+S67</f>
        <v>0</v>
      </c>
      <c r="T78" s="157"/>
      <c r="U78" s="65"/>
      <c r="V78" s="72">
        <f>SUM(J78:U78)</f>
        <v>0</v>
      </c>
      <c r="W78" s="5"/>
    </row>
    <row r="79" spans="1:23" ht="8.25" customHeight="1" thickTop="1">
      <c r="A79" s="28"/>
      <c r="B79" s="1"/>
      <c r="C79" s="35"/>
      <c r="D79" s="7"/>
      <c r="E79" s="7"/>
      <c r="F79" s="7"/>
      <c r="G79" s="7"/>
      <c r="H79" s="7"/>
      <c r="I79" s="7"/>
      <c r="J79" s="50"/>
      <c r="K79" s="153"/>
      <c r="L79" s="172"/>
      <c r="M79" s="50"/>
      <c r="N79" s="153"/>
      <c r="O79" s="50"/>
      <c r="P79" s="50"/>
      <c r="Q79" s="153"/>
      <c r="R79" s="50"/>
      <c r="S79" s="50"/>
      <c r="T79" s="153"/>
      <c r="U79" s="50"/>
      <c r="V79" s="50" t="s">
        <v>1</v>
      </c>
      <c r="W79" s="5"/>
    </row>
    <row r="80" spans="1:23" ht="9" customHeight="1">
      <c r="A80" s="1"/>
      <c r="B80" s="1"/>
      <c r="C80" s="1"/>
      <c r="D80" s="1"/>
      <c r="E80" s="1"/>
      <c r="F80" s="1"/>
      <c r="G80" s="1"/>
      <c r="H80" s="1"/>
      <c r="I80" s="1"/>
      <c r="J80" s="49"/>
      <c r="K80" s="160"/>
      <c r="L80" s="179"/>
      <c r="M80" s="58"/>
      <c r="N80" s="160"/>
      <c r="O80" s="57"/>
      <c r="P80" s="58"/>
      <c r="Q80" s="160"/>
      <c r="R80" s="57"/>
      <c r="S80" s="58"/>
      <c r="T80" s="160"/>
      <c r="U80" s="57"/>
      <c r="V80" s="58"/>
      <c r="W80" s="1"/>
    </row>
    <row r="81" ht="15.75">
      <c r="C81" s="36" t="s">
        <v>118</v>
      </c>
    </row>
    <row r="82" spans="3:7" ht="15.75">
      <c r="C82" s="14" t="s">
        <v>46</v>
      </c>
      <c r="E82" s="15" t="s">
        <v>47</v>
      </c>
      <c r="G82" s="14" t="s">
        <v>48</v>
      </c>
    </row>
    <row r="83" spans="3:6" ht="15.75">
      <c r="C83" s="14" t="s">
        <v>175</v>
      </c>
      <c r="E83" s="9">
        <v>0.1</v>
      </c>
      <c r="F83" s="9"/>
    </row>
    <row r="84" spans="3:7" ht="15.75">
      <c r="C84" s="14" t="s">
        <v>49</v>
      </c>
      <c r="E84" s="167" t="s">
        <v>50</v>
      </c>
      <c r="G84" s="14" t="s">
        <v>51</v>
      </c>
    </row>
    <row r="86" spans="4:19" ht="15.75">
      <c r="D86" s="214" t="s">
        <v>197</v>
      </c>
      <c r="H86" s="212">
        <f>+'RATES-Non Fed'!E31</f>
        <v>0.605</v>
      </c>
      <c r="J86" s="211">
        <f>J76/12*'RATES-Non Fed'!$C$48</f>
        <v>0</v>
      </c>
      <c r="L86" s="212">
        <f>+'RATES-Non Fed'!G31</f>
        <v>0.62</v>
      </c>
      <c r="M86" s="211">
        <f>M76/12*'RATES-Non Fed'!$C$48</f>
        <v>0</v>
      </c>
      <c r="O86" s="213">
        <f>+'RATES-Non Fed'!I31</f>
        <v>0.62</v>
      </c>
      <c r="P86" s="211">
        <f>P76/12*'RATES-Non Fed'!$C$48</f>
        <v>0</v>
      </c>
      <c r="R86" s="213">
        <f>+'RATES-Non Fed'!K31</f>
        <v>0.62</v>
      </c>
      <c r="S86" s="211">
        <f>S76/12*'RATES-Non Fed'!$C$48</f>
        <v>0</v>
      </c>
    </row>
    <row r="87" spans="4:19" ht="15.75" customHeight="1">
      <c r="D87" s="314" t="s">
        <v>198</v>
      </c>
      <c r="E87" s="314"/>
      <c r="F87" s="314"/>
      <c r="G87" s="314"/>
      <c r="H87" s="212">
        <f>+'RATES-Non Fed'!G31</f>
        <v>0.62</v>
      </c>
      <c r="J87" s="211">
        <f>J76/12*'RATES-Non Fed'!$D$48</f>
        <v>0</v>
      </c>
      <c r="L87" s="212">
        <f>+'RATES-Non Fed'!I31</f>
        <v>0.62</v>
      </c>
      <c r="M87" s="211">
        <f>M76/12*'RATES-Non Fed'!$D$48</f>
        <v>0</v>
      </c>
      <c r="O87" s="213">
        <f>+'RATES-Non Fed'!K31</f>
        <v>0.62</v>
      </c>
      <c r="P87" s="211">
        <f>P76/12*'RATES-Non Fed'!$D$48</f>
        <v>0</v>
      </c>
      <c r="R87" s="213">
        <f>+'RATES-Non Fed'!M31</f>
        <v>0.62</v>
      </c>
      <c r="S87" s="211">
        <f>S76/12*'RATES-Non Fed'!$D$48</f>
        <v>0</v>
      </c>
    </row>
    <row r="88" spans="4:23" ht="18.75">
      <c r="D88" s="314"/>
      <c r="E88" s="314"/>
      <c r="F88" s="314"/>
      <c r="G88" s="314"/>
      <c r="J88" s="211">
        <f>SUM(J86:J87)</f>
        <v>0</v>
      </c>
      <c r="M88" s="211">
        <f>SUM(M86:M87)</f>
        <v>0</v>
      </c>
      <c r="P88" s="211">
        <f>SUM(P86:P87)</f>
        <v>0</v>
      </c>
      <c r="S88" s="211">
        <f>SUM(S86:S87)</f>
        <v>0</v>
      </c>
      <c r="U88" s="325">
        <f>'RATES-Non Fed'!Q69</f>
        <v>0</v>
      </c>
      <c r="V88" s="325"/>
      <c r="W88" s="325"/>
    </row>
  </sheetData>
  <sheetProtection/>
  <mergeCells count="7">
    <mergeCell ref="D87:G88"/>
    <mergeCell ref="K4:U5"/>
    <mergeCell ref="J8:L8"/>
    <mergeCell ref="M8:O8"/>
    <mergeCell ref="P8:R8"/>
    <mergeCell ref="S8:U8"/>
    <mergeCell ref="U88:W88"/>
  </mergeCells>
  <dataValidations count="1">
    <dataValidation type="list" allowBlank="1" showInputMessage="1" showErrorMessage="1" sqref="D11 D17:D18 D13 D15 D21:D24">
      <formula1>APPTS</formula1>
    </dataValidation>
  </dataValidations>
  <hyperlinks>
    <hyperlink ref="C58" r:id="rId1" display="UC Tuition rates (Not Subject to Indirect)"/>
  </hyperlinks>
  <printOptions horizontalCentered="1"/>
  <pageMargins left="0.5" right="0.3" top="0.5" bottom="0.5" header="0.5" footer="0.5"/>
  <pageSetup fitToHeight="1" fitToWidth="1" horizontalDpi="300" verticalDpi="300" orientation="landscape" scale="40" r:id="rId4"/>
  <legacyDrawing r:id="rId3"/>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AB88"/>
  <sheetViews>
    <sheetView showGridLines="0" zoomScale="75" zoomScaleNormal="75" workbookViewId="0" topLeftCell="A49">
      <selection activeCell="V76" sqref="V76"/>
    </sheetView>
  </sheetViews>
  <sheetFormatPr defaultColWidth="9.625" defaultRowHeight="15.75"/>
  <cols>
    <col min="1" max="2" width="2.625" style="0" customWidth="1"/>
    <col min="3" max="3" width="20.50390625" style="0" customWidth="1"/>
    <col min="4" max="4" width="16.125" style="0" customWidth="1"/>
    <col min="5" max="5" width="8.25390625" style="0" bestFit="1"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9.25390625" style="161" bestFit="1" customWidth="1"/>
    <col min="12" max="12" width="10.125" style="180" bestFit="1" customWidth="1"/>
    <col min="13" max="13" width="11.25390625" style="0" customWidth="1"/>
    <col min="14" max="14" width="9.25390625" style="161" bestFit="1" customWidth="1"/>
    <col min="15" max="15" width="9.50390625" style="90" bestFit="1" customWidth="1"/>
    <col min="16" max="16" width="11.25390625" style="0" customWidth="1"/>
    <col min="17" max="17" width="9.25390625" style="161" bestFit="1" customWidth="1"/>
    <col min="18" max="18" width="8.75390625" style="90" bestFit="1" customWidth="1"/>
    <col min="19" max="19" width="11.25390625" style="0" customWidth="1"/>
    <col min="20" max="20" width="9.25390625" style="161" bestFit="1" customWidth="1"/>
    <col min="21" max="21" width="8.75390625" style="90" bestFit="1" customWidth="1"/>
    <col min="22" max="22" width="10.25390625" style="90" customWidth="1"/>
    <col min="23" max="24" width="8.75390625" style="90" customWidth="1"/>
    <col min="25" max="25" width="14.625" style="0" customWidth="1"/>
    <col min="26" max="26" width="2.625" style="0" customWidth="1"/>
  </cols>
  <sheetData>
    <row r="1" spans="1:24" ht="18.75">
      <c r="A1" s="17" t="s">
        <v>0</v>
      </c>
      <c r="B1" s="18"/>
      <c r="C1" s="18"/>
      <c r="D1" s="18"/>
      <c r="E1" s="18"/>
      <c r="F1" s="18"/>
      <c r="G1" s="18"/>
      <c r="H1" s="18"/>
      <c r="I1" s="18"/>
      <c r="J1" s="19"/>
      <c r="K1" s="147"/>
      <c r="L1" s="168"/>
      <c r="M1" s="37"/>
      <c r="N1" s="162"/>
      <c r="O1" s="189"/>
      <c r="P1" s="37"/>
      <c r="Q1" s="162"/>
      <c r="R1" s="189"/>
      <c r="S1" s="37"/>
      <c r="T1" s="162"/>
      <c r="U1" s="189"/>
      <c r="V1" s="189"/>
      <c r="W1" s="189"/>
      <c r="X1" s="189"/>
    </row>
    <row r="2" spans="1:25" ht="18.75">
      <c r="A2" s="17" t="s">
        <v>90</v>
      </c>
      <c r="B2" s="18"/>
      <c r="C2" s="18"/>
      <c r="D2" s="18"/>
      <c r="E2" s="18"/>
      <c r="F2" s="18"/>
      <c r="G2" s="18"/>
      <c r="H2" s="18"/>
      <c r="I2" s="18"/>
      <c r="J2" s="19"/>
      <c r="K2" s="147"/>
      <c r="L2" s="168"/>
      <c r="M2" s="37"/>
      <c r="N2" s="162"/>
      <c r="O2" s="189"/>
      <c r="P2" s="37"/>
      <c r="Q2" s="162"/>
      <c r="R2" s="189"/>
      <c r="S2" s="37"/>
      <c r="T2" s="162"/>
      <c r="U2" s="189"/>
      <c r="V2" s="189"/>
      <c r="W2" s="189"/>
      <c r="X2" s="189"/>
      <c r="Y2" s="37"/>
    </row>
    <row r="3" spans="1:25" ht="9.75" customHeight="1">
      <c r="A3" s="10" t="s">
        <v>1</v>
      </c>
      <c r="B3" s="1"/>
      <c r="J3" s="11" t="s">
        <v>1</v>
      </c>
      <c r="K3" s="148"/>
      <c r="L3" s="169"/>
      <c r="M3" s="8"/>
      <c r="P3" s="8"/>
      <c r="S3" s="8"/>
      <c r="Y3" s="8"/>
    </row>
    <row r="4" spans="1:25" ht="15.75">
      <c r="A4" s="22" t="s">
        <v>2</v>
      </c>
      <c r="B4" s="1"/>
      <c r="D4" s="10" t="s">
        <v>69</v>
      </c>
      <c r="G4" s="3"/>
      <c r="J4" s="20" t="s">
        <v>3</v>
      </c>
      <c r="K4" s="315" t="s">
        <v>69</v>
      </c>
      <c r="L4" s="316"/>
      <c r="M4" s="317"/>
      <c r="N4" s="317"/>
      <c r="O4" s="317"/>
      <c r="P4" s="317"/>
      <c r="Q4" s="317"/>
      <c r="R4" s="317"/>
      <c r="S4" s="317"/>
      <c r="T4" s="317"/>
      <c r="U4" s="318"/>
      <c r="V4" s="274"/>
      <c r="W4" s="274"/>
      <c r="X4" s="274"/>
      <c r="Y4" s="8"/>
    </row>
    <row r="5" spans="1:25" ht="18.75">
      <c r="A5" s="22" t="s">
        <v>4</v>
      </c>
      <c r="B5" s="1"/>
      <c r="D5" s="10" t="s">
        <v>69</v>
      </c>
      <c r="E5" s="3"/>
      <c r="F5" s="3"/>
      <c r="H5" s="2"/>
      <c r="I5" s="2"/>
      <c r="J5" s="38"/>
      <c r="K5" s="319"/>
      <c r="L5" s="320"/>
      <c r="M5" s="320"/>
      <c r="N5" s="320"/>
      <c r="O5" s="320"/>
      <c r="P5" s="320"/>
      <c r="Q5" s="320"/>
      <c r="R5" s="320"/>
      <c r="S5" s="320"/>
      <c r="T5" s="320"/>
      <c r="U5" s="321"/>
      <c r="V5" s="274"/>
      <c r="W5" s="274"/>
      <c r="X5" s="274"/>
      <c r="Y5" s="8"/>
    </row>
    <row r="6" spans="1:25" ht="15.75">
      <c r="A6" s="14"/>
      <c r="B6" s="22" t="s">
        <v>5</v>
      </c>
      <c r="D6" s="73">
        <f>'RATES-Non Fed'!E2</f>
        <v>44013</v>
      </c>
      <c r="E6" s="12" t="s">
        <v>6</v>
      </c>
      <c r="F6" s="12"/>
      <c r="G6" s="73">
        <f>'RATES-Non Fed'!G2</f>
        <v>46203</v>
      </c>
      <c r="H6" s="4"/>
      <c r="I6" s="4"/>
      <c r="J6" s="2"/>
      <c r="K6" s="149"/>
      <c r="L6" s="170"/>
      <c r="M6" s="3"/>
      <c r="N6" s="149"/>
      <c r="O6" s="144"/>
      <c r="P6" s="3"/>
      <c r="Q6" s="149"/>
      <c r="R6" s="144"/>
      <c r="S6" s="3"/>
      <c r="T6" s="149"/>
      <c r="U6" s="144"/>
      <c r="V6" s="144"/>
      <c r="W6" s="144"/>
      <c r="X6" s="144"/>
      <c r="Y6" s="8"/>
    </row>
    <row r="7" spans="5:26" ht="7.5" customHeight="1">
      <c r="E7" s="3"/>
      <c r="F7" s="3"/>
      <c r="G7" s="1"/>
      <c r="H7" s="1"/>
      <c r="I7" s="1"/>
      <c r="J7" s="16" t="s">
        <v>1</v>
      </c>
      <c r="K7" s="148"/>
      <c r="L7" s="169"/>
      <c r="M7" s="8"/>
      <c r="N7" s="148"/>
      <c r="O7" s="138"/>
      <c r="P7" s="8"/>
      <c r="Q7" s="148"/>
      <c r="R7" s="138"/>
      <c r="S7" s="8"/>
      <c r="T7" s="148"/>
      <c r="U7" s="138"/>
      <c r="V7" s="138"/>
      <c r="W7" s="138"/>
      <c r="X7" s="138"/>
      <c r="Y7" s="8"/>
      <c r="Z7" s="1"/>
    </row>
    <row r="8" spans="1:26" ht="15.75">
      <c r="A8" s="21"/>
      <c r="B8" s="21"/>
      <c r="C8" s="21"/>
      <c r="D8" s="21"/>
      <c r="E8" s="21"/>
      <c r="F8" s="21"/>
      <c r="G8" s="21"/>
      <c r="H8" s="21"/>
      <c r="I8" s="21"/>
      <c r="J8" s="304" t="s">
        <v>21</v>
      </c>
      <c r="K8" s="305"/>
      <c r="L8" s="306"/>
      <c r="M8" s="322" t="s">
        <v>53</v>
      </c>
      <c r="N8" s="323"/>
      <c r="O8" s="324"/>
      <c r="P8" s="322" t="s">
        <v>55</v>
      </c>
      <c r="Q8" s="323"/>
      <c r="R8" s="324"/>
      <c r="S8" s="322" t="s">
        <v>57</v>
      </c>
      <c r="T8" s="323"/>
      <c r="U8" s="324"/>
      <c r="V8" s="322" t="s">
        <v>59</v>
      </c>
      <c r="W8" s="323"/>
      <c r="X8" s="324"/>
      <c r="Y8" s="166" t="s">
        <v>8</v>
      </c>
      <c r="Z8" s="21"/>
    </row>
    <row r="9" spans="1:26" s="142" customFormat="1" ht="15.75">
      <c r="A9" s="140" t="s">
        <v>9</v>
      </c>
      <c r="B9" s="140" t="s">
        <v>10</v>
      </c>
      <c r="C9" s="140"/>
      <c r="D9" s="140"/>
      <c r="E9" s="140"/>
      <c r="F9" s="140"/>
      <c r="G9" s="140"/>
      <c r="H9" s="140"/>
      <c r="I9" s="140"/>
      <c r="J9" s="184" t="s">
        <v>180</v>
      </c>
      <c r="K9" s="150" t="s">
        <v>181</v>
      </c>
      <c r="L9" s="140" t="s">
        <v>182</v>
      </c>
      <c r="M9" s="188" t="s">
        <v>180</v>
      </c>
      <c r="N9" s="150" t="s">
        <v>181</v>
      </c>
      <c r="O9" s="140" t="s">
        <v>182</v>
      </c>
      <c r="P9" s="188" t="s">
        <v>180</v>
      </c>
      <c r="Q9" s="150" t="s">
        <v>181</v>
      </c>
      <c r="R9" s="140" t="s">
        <v>182</v>
      </c>
      <c r="S9" s="188" t="s">
        <v>180</v>
      </c>
      <c r="T9" s="150" t="s">
        <v>181</v>
      </c>
      <c r="U9" s="140" t="s">
        <v>182</v>
      </c>
      <c r="V9" s="188" t="s">
        <v>180</v>
      </c>
      <c r="W9" s="150" t="s">
        <v>181</v>
      </c>
      <c r="X9" s="140" t="s">
        <v>182</v>
      </c>
      <c r="Y9" s="141"/>
      <c r="Z9" s="140"/>
    </row>
    <row r="10" spans="1:26" ht="15.75">
      <c r="A10" s="1"/>
      <c r="B10" s="23" t="s">
        <v>11</v>
      </c>
      <c r="C10" s="24"/>
      <c r="D10" s="24" t="s">
        <v>99</v>
      </c>
      <c r="E10" s="1" t="s">
        <v>12</v>
      </c>
      <c r="F10" s="41" t="s">
        <v>121</v>
      </c>
      <c r="G10" s="41" t="s">
        <v>13</v>
      </c>
      <c r="H10" s="1"/>
      <c r="I10" s="1"/>
      <c r="J10" s="185"/>
      <c r="K10" s="148"/>
      <c r="L10" s="138"/>
      <c r="M10" s="185"/>
      <c r="N10" s="148"/>
      <c r="O10" s="138"/>
      <c r="P10" s="185"/>
      <c r="Q10" s="148"/>
      <c r="R10" s="138"/>
      <c r="S10" s="185"/>
      <c r="T10" s="148"/>
      <c r="U10" s="138"/>
      <c r="V10" s="185"/>
      <c r="W10" s="148"/>
      <c r="X10" s="138"/>
      <c r="Y10" s="2">
        <f>IF(SUM(J10:N10)=0,"",SUM(J10:N10))</f>
      </c>
      <c r="Z10" s="1"/>
    </row>
    <row r="11" spans="1:26" ht="15.75">
      <c r="A11" s="1"/>
      <c r="B11" s="1" t="s">
        <v>14</v>
      </c>
      <c r="C11" s="10"/>
      <c r="D11" s="135" t="s">
        <v>123</v>
      </c>
      <c r="E11" s="70">
        <v>0</v>
      </c>
      <c r="F11" s="94">
        <f aca="true" t="shared" si="0" ref="F11:F18">IF(D11="CAL",(52*E11/4.3333),(IF(D11="ACAD",(36.35*E11/4.33333),IF(D11="SUMR",(15.65*E11/4.33333),IF(D11="PT",(0),0)))))</f>
        <v>0</v>
      </c>
      <c r="G11" s="69">
        <v>0</v>
      </c>
      <c r="J11" s="182">
        <f>IF($D11="CAL",ROUND(($G11*(1+'Salary Inflation'!$B$35))*$E11,0),IF($D11="ACAD",($G11/0.9965)*(1+'Salary Inflation'!$O$46)*$E11,IF($D11="SUMR",($G11)*(1+'Salary Inflation'!$O$47)*$E11,"NA")))</f>
        <v>0</v>
      </c>
      <c r="K11" s="151">
        <f>IF(D11="CAL",ROUND(J11*'RATES-Non Fed'!$E$38,0),IF(D11="ACAD",J11*'RATES-Non Fed'!$E$44,J11*'RATES-Non Fed'!$E$45))</f>
        <v>0</v>
      </c>
      <c r="L11" s="67">
        <f>ROUND(K11+J11,0)</f>
        <v>0</v>
      </c>
      <c r="M11" s="182">
        <f>IF($D11="CAL",ROUND((J11*(1+'Salary Inflation'!$C$35)),0),IF($D11="ACAD",(J11)*(1+'Salary Inflation'!$C$36),IF($D11="SUMR",(J11)*(1+'Salary Inflation'!$C$37),"NA")))</f>
        <v>0</v>
      </c>
      <c r="N11" s="151">
        <f>IF($D11="CAL",ROUND(M11*'RATES-Non Fed'!$G$38,0),IF($D11="ACAD",M11*'RATES-Non Fed'!$G$44,M11*'RATES-Non Fed'!$G$45))</f>
        <v>0</v>
      </c>
      <c r="O11" s="67">
        <f aca="true" t="shared" si="1" ref="O11:O18">ROUND(M11+N11,0)</f>
        <v>0</v>
      </c>
      <c r="P11" s="182">
        <f>IF($D11="CAL",ROUND((M11*(1+'Salary Inflation'!$D$35)),0),IF($D11="ACAD",(M11)*(1+'Salary Inflation'!$D$36),IF($D11="SUMR",(M11)*(1+'Salary Inflation'!$D$37),"NA")))</f>
        <v>0</v>
      </c>
      <c r="Q11" s="151">
        <f>IF($D11="CAL",ROUND(P11*'RATES-Non Fed'!$I$38,0),IF($D11="ACAD",P11*'RATES-Non Fed'!$I$44,P11*'RATES-Non Fed'!$I$45))</f>
        <v>0</v>
      </c>
      <c r="R11" s="67">
        <f aca="true" t="shared" si="2" ref="R11:R18">SUM(P11:Q11)</f>
        <v>0</v>
      </c>
      <c r="S11" s="182">
        <f>IF($D11="CAL",ROUND((P11*(1+'Salary Inflation'!$E$35)),0),IF($D11="ACAD",(P11)*(1+'Salary Inflation'!$E$36),IF($D11="SUMR",(P11)*(1+'Salary Inflation'!$E$37),"NA")))</f>
        <v>0</v>
      </c>
      <c r="T11" s="151">
        <f>IF($D11="CAL",ROUND(S11*'RATES-Non Fed'!$K$38,0),IF($D11="ACAD",S11*'RATES-Non Fed'!$K$44,S11*'RATES-Non Fed'!$K$45))</f>
        <v>0</v>
      </c>
      <c r="U11" s="67">
        <f>SUM(S11:T11)</f>
        <v>0</v>
      </c>
      <c r="V11" s="182">
        <f>IF($D11="CAL",ROUND((S11*(1+'Salary Inflation'!$F$35)),0),IF($D11="ACAD",(S11)*(1+'Salary Inflation'!$F$36),IF($D11="SUMR",(S11)*(1+'Salary Inflation'!$F$37),"NA")))</f>
        <v>0</v>
      </c>
      <c r="W11" s="151">
        <f>IF($D11="CAL",ROUND(V11*'RATES-Non Fed'!$M$38,0),IF($D11="ACAD",V11*'RATES-Non Fed'!$M$44,V11*'RATES-Non Fed'!$M$45))</f>
        <v>0</v>
      </c>
      <c r="X11" s="67">
        <f aca="true" t="shared" si="3" ref="X11:X18">SUM(V11:W11)</f>
        <v>0</v>
      </c>
      <c r="Y11" s="42">
        <f>SUM(L11+O11+R11+U11+X11)</f>
        <v>0</v>
      </c>
      <c r="Z11" s="1"/>
    </row>
    <row r="12" spans="1:26" ht="15.75">
      <c r="A12" s="1"/>
      <c r="B12" s="1" t="s">
        <v>14</v>
      </c>
      <c r="C12" s="3"/>
      <c r="D12" s="135" t="s">
        <v>257</v>
      </c>
      <c r="E12" s="70">
        <v>0</v>
      </c>
      <c r="F12" s="94">
        <f t="shared" si="0"/>
        <v>0</v>
      </c>
      <c r="G12" s="69">
        <f>IF(D11="ACAD",+G11*0.428,0)</f>
        <v>0</v>
      </c>
      <c r="J12" s="182">
        <f>IF($D12="CAL",ROUND(($G12*(1+'Salary Inflation'!$B$35))*$E12,0),IF($D12="ACAD",($G12/0.9965)*(1+'Salary Inflation'!$O$46)*$E12,IF($D12="SUMR",($G12)*(1+'Salary Inflation'!$O$47)*$E12,"NA")))</f>
        <v>0</v>
      </c>
      <c r="K12" s="151">
        <f>IF(D12="CAL",ROUND(J12*'RATES-Non Fed'!$E$38,0),IF(D12="ACAD",J12*'RATES-Non Fed'!$E$44,J12*'RATES-Non Fed'!$E$45))</f>
        <v>0</v>
      </c>
      <c r="L12" s="67">
        <f aca="true" t="shared" si="4" ref="L12:L18">ROUND(K12+J12,0)</f>
        <v>0</v>
      </c>
      <c r="M12" s="182">
        <f>IF($D12="CAL",ROUND((J12*(1+'Salary Inflation'!$C$35)),0),IF($D12="ACAD",(J12)*(1+'Salary Inflation'!$C$36),IF($D12="SUMR",(J12)*(1+'Salary Inflation'!$C$37),"NA")))</f>
        <v>0</v>
      </c>
      <c r="N12" s="151">
        <f>IF($D12="CAL",ROUND(M12*'RATES-Non Fed'!$G$38,0),IF($D12="ACAD",M12*'RATES-Non Fed'!$G$44,M12*'RATES-Non Fed'!$G$45))</f>
        <v>0</v>
      </c>
      <c r="O12" s="67">
        <f t="shared" si="1"/>
        <v>0</v>
      </c>
      <c r="P12" s="182">
        <f>IF($D12="CAL",ROUND((M12*(1+'Salary Inflation'!$D$35)),0),IF($D12="ACAD",(M12)*(1+'Salary Inflation'!$D$36),IF($D12="SUMR",(M12)*(1+'Salary Inflation'!$D$37),"NA")))</f>
        <v>0</v>
      </c>
      <c r="Q12" s="151">
        <f>IF($D12="CAL",ROUND(P12*'RATES-Non Fed'!$I$38,0),IF($D12="ACAD",P12*'RATES-Non Fed'!$I$44,P12*'RATES-Non Fed'!$I$45))</f>
        <v>0</v>
      </c>
      <c r="R12" s="67">
        <f t="shared" si="2"/>
        <v>0</v>
      </c>
      <c r="S12" s="182">
        <f>IF($D12="CAL",ROUND((P12*(1+'Salary Inflation'!$E$35)),0),IF($D12="ACAD",(P12)*(1+'Salary Inflation'!$E$36),IF($D12="SUMR",(P12)*(1+'Salary Inflation'!$E$37),"NA")))</f>
        <v>0</v>
      </c>
      <c r="T12" s="151">
        <f>IF($D12="CAL",ROUND(S12*'RATES-Non Fed'!$K$38,0),IF($D12="ACAD",S12*'RATES-Non Fed'!$K$44,S12*'RATES-Non Fed'!$K$45))</f>
        <v>0</v>
      </c>
      <c r="U12" s="67">
        <f aca="true" t="shared" si="5" ref="U12:U18">SUM(S12:T12)</f>
        <v>0</v>
      </c>
      <c r="V12" s="182">
        <f>IF($D12="CAL",ROUND((S12*(1+'Salary Inflation'!$F$35)),0),IF($D12="ACAD",(S12)*(1+'Salary Inflation'!$F$36),IF($D12="SUMR",(S12)*(1+'Salary Inflation'!$F$37),"NA")))</f>
        <v>0</v>
      </c>
      <c r="W12" s="151">
        <f>IF($D12="CAL",ROUND(V12*'RATES-Non Fed'!$M$38,0),IF($D12="ACAD",V12*'RATES-Non Fed'!$M$44,V12*'RATES-Non Fed'!$M$45))</f>
        <v>0</v>
      </c>
      <c r="X12" s="67">
        <f t="shared" si="3"/>
        <v>0</v>
      </c>
      <c r="Y12" s="42">
        <f aca="true" t="shared" si="6" ref="Y12:Y18">SUM(L12+O12+R12+U12+X12)</f>
        <v>0</v>
      </c>
      <c r="Z12" s="1"/>
    </row>
    <row r="13" spans="1:26" ht="15.75">
      <c r="A13" s="1"/>
      <c r="B13" s="1" t="s">
        <v>15</v>
      </c>
      <c r="C13" s="3"/>
      <c r="D13" s="135" t="s">
        <v>123</v>
      </c>
      <c r="E13" s="70">
        <v>0</v>
      </c>
      <c r="F13" s="94">
        <f t="shared" si="0"/>
        <v>0</v>
      </c>
      <c r="G13" s="69">
        <v>0</v>
      </c>
      <c r="J13" s="182">
        <f>IF($D13="CAL",ROUND(($G13*(1+'Salary Inflation'!$B$35))*$E13,0),IF($D13="ACAD",($G13/0.9965)*(1+'Salary Inflation'!$O$46)*$E13,IF($D13="SUMR",($G13)*(1+'Salary Inflation'!$O$47)*$E13,"NA")))</f>
        <v>0</v>
      </c>
      <c r="K13" s="151">
        <f>IF(D13="CAL",ROUND(J13*'RATES-Non Fed'!$E$38,0),IF(D13="ACAD",J13*'RATES-Non Fed'!$E$44,J13*'RATES-Non Fed'!$E$45))</f>
        <v>0</v>
      </c>
      <c r="L13" s="67">
        <f t="shared" si="4"/>
        <v>0</v>
      </c>
      <c r="M13" s="182">
        <f>IF($D13="CAL",ROUND((J13*(1+'Salary Inflation'!$C$35)),0),IF($D13="ACAD",(J13)*(1+'Salary Inflation'!$C$36),IF($D13="SUMR",(J13)*(1+'Salary Inflation'!$C$37),"NA")))</f>
        <v>0</v>
      </c>
      <c r="N13" s="151">
        <f>IF($D13="CAL",ROUND(M13*'RATES-Non Fed'!$G$38,0),IF($D13="ACAD",M13*'RATES-Non Fed'!$G$44,M13*'RATES-Non Fed'!$G$45))</f>
        <v>0</v>
      </c>
      <c r="O13" s="67">
        <f t="shared" si="1"/>
        <v>0</v>
      </c>
      <c r="P13" s="182">
        <f>IF($D13="CAL",ROUND((M13*(1+'Salary Inflation'!$D$35)),0),IF($D13="ACAD",(M13)*(1+'Salary Inflation'!$D$36),IF($D13="SUMR",(M13)*(1+'Salary Inflation'!$D$37),"NA")))</f>
        <v>0</v>
      </c>
      <c r="Q13" s="151">
        <f>IF($D13="CAL",ROUND(P13*'RATES-Non Fed'!$I$38,0),IF($D13="ACAD",P13*'RATES-Non Fed'!$I$44,P13*'RATES-Non Fed'!$I$45))</f>
        <v>0</v>
      </c>
      <c r="R13" s="67">
        <f t="shared" si="2"/>
        <v>0</v>
      </c>
      <c r="S13" s="182">
        <f>IF($D13="CAL",ROUND((P13*(1+'Salary Inflation'!$E$35)),0),IF($D13="ACAD",(P13)*(1+'Salary Inflation'!$E$36),IF($D13="SUMR",(P13)*(1+'Salary Inflation'!$E$37),"NA")))</f>
        <v>0</v>
      </c>
      <c r="T13" s="151">
        <f>IF($D13="CAL",ROUND(S13*'RATES-Non Fed'!$K$38,0),IF($D13="ACAD",S13*'RATES-Non Fed'!$K$44,S13*'RATES-Non Fed'!$K$45))</f>
        <v>0</v>
      </c>
      <c r="U13" s="67">
        <f t="shared" si="5"/>
        <v>0</v>
      </c>
      <c r="V13" s="182">
        <f>IF($D13="CAL",ROUND((S13*(1+'Salary Inflation'!$F$35)),0),IF($D13="ACAD",(S13)*(1+'Salary Inflation'!$F$36),IF($D13="SUMR",(S13)*(1+'Salary Inflation'!$F$37),"NA")))</f>
        <v>0</v>
      </c>
      <c r="W13" s="151">
        <f>IF($D13="CAL",ROUND(V13*'RATES-Non Fed'!$M$38,0),IF($D13="ACAD",V13*'RATES-Non Fed'!$M$44,V13*'RATES-Non Fed'!$M$45))</f>
        <v>0</v>
      </c>
      <c r="X13" s="67">
        <f t="shared" si="3"/>
        <v>0</v>
      </c>
      <c r="Y13" s="42">
        <f t="shared" si="6"/>
        <v>0</v>
      </c>
      <c r="Z13" s="1"/>
    </row>
    <row r="14" spans="1:25" ht="15.75">
      <c r="A14" s="1"/>
      <c r="B14" s="1"/>
      <c r="C14" s="3"/>
      <c r="D14" s="135" t="str">
        <f>IF(D13="ACAD",("SUMR"),"")</f>
        <v>SUMR</v>
      </c>
      <c r="E14" s="70">
        <v>0</v>
      </c>
      <c r="F14" s="94">
        <f t="shared" si="0"/>
        <v>0</v>
      </c>
      <c r="G14" s="69">
        <f>IF(D13="ACAD",+G13*0.428,0)</f>
        <v>0</v>
      </c>
      <c r="J14" s="182">
        <f>IF($D14="CAL",ROUND(($G14*(1+'Salary Inflation'!$B$35))*$E14,0),IF($D14="ACAD",($G14/0.9965)*(1+'Salary Inflation'!$O$46)*$E14,IF($D14="SUMR",($G14)*(1+'Salary Inflation'!$O$47)*$E14,"NA")))</f>
        <v>0</v>
      </c>
      <c r="K14" s="151">
        <f>IF(D14="CAL",ROUND(J14*'RATES-Non Fed'!$E$38,0),IF(D14="ACAD",J14*'RATES-Non Fed'!$E$44,J14*'RATES-Non Fed'!$E$45))</f>
        <v>0</v>
      </c>
      <c r="L14" s="67">
        <f t="shared" si="4"/>
        <v>0</v>
      </c>
      <c r="M14" s="182">
        <f>IF($D14="CAL",ROUND((J14*(1+'Salary Inflation'!$C$35)),0),IF($D14="ACAD",(J14)*(1+'Salary Inflation'!$C$36),IF($D14="SUMR",(J14)*(1+'Salary Inflation'!$C$37),"NA")))</f>
        <v>0</v>
      </c>
      <c r="N14" s="151">
        <f>IF($D14="CAL",ROUND(M14*'RATES-Non Fed'!$G$38,0),IF($D14="ACAD",M14*'RATES-Non Fed'!$G$44,M14*'RATES-Non Fed'!$G$45))</f>
        <v>0</v>
      </c>
      <c r="O14" s="67">
        <f t="shared" si="1"/>
        <v>0</v>
      </c>
      <c r="P14" s="182">
        <f>IF($D14="CAL",ROUND((M14*(1+'Salary Inflation'!$D$35)),0),IF($D14="ACAD",(M14)*(1+'Salary Inflation'!$D$36),IF($D14="SUMR",(M14)*(1+'Salary Inflation'!$D$37),"NA")))</f>
        <v>0</v>
      </c>
      <c r="Q14" s="151">
        <f>IF($D14="CAL",ROUND(P14*'RATES-Non Fed'!$I$38,0),IF($D14="ACAD",P14*'RATES-Non Fed'!$I$44,P14*'RATES-Non Fed'!$I$45))</f>
        <v>0</v>
      </c>
      <c r="R14" s="67">
        <f t="shared" si="2"/>
        <v>0</v>
      </c>
      <c r="S14" s="182">
        <f>IF($D14="CAL",ROUND((P14*(1+'Salary Inflation'!$E$35)),0),IF($D14="ACAD",(P14)*(1+'Salary Inflation'!$E$36),IF($D14="SUMR",(P14)*(1+'Salary Inflation'!$E$37),"NA")))</f>
        <v>0</v>
      </c>
      <c r="T14" s="151">
        <f>IF($D14="CAL",ROUND(S14*'RATES-Non Fed'!$K$38,0),IF($D14="ACAD",S14*'RATES-Non Fed'!$K$44,S14*'RATES-Non Fed'!$K$45))</f>
        <v>0</v>
      </c>
      <c r="U14" s="67">
        <f t="shared" si="5"/>
        <v>0</v>
      </c>
      <c r="V14" s="182">
        <f>IF($D14="CAL",ROUND((S14*(1+'Salary Inflation'!$F$35)),0),IF($D14="ACAD",(S14)*(1+'Salary Inflation'!$F$36),IF($D14="SUMR",(S14)*(1+'Salary Inflation'!$F$37),"NA")))</f>
        <v>0</v>
      </c>
      <c r="W14" s="151">
        <f>IF($D14="CAL",ROUND(V14*'RATES-Non Fed'!$M$38,0),IF($D14="ACAD",V14*'RATES-Non Fed'!$M$44,V14*'RATES-Non Fed'!$M$45))</f>
        <v>0</v>
      </c>
      <c r="X14" s="67">
        <f t="shared" si="3"/>
        <v>0</v>
      </c>
      <c r="Y14" s="42">
        <f t="shared" si="6"/>
        <v>0</v>
      </c>
    </row>
    <row r="15" spans="1:26" ht="15.75">
      <c r="A15" s="1"/>
      <c r="B15" s="1" t="s">
        <v>15</v>
      </c>
      <c r="C15" s="3"/>
      <c r="D15" s="135" t="s">
        <v>123</v>
      </c>
      <c r="E15" s="70">
        <v>0</v>
      </c>
      <c r="F15" s="94">
        <f t="shared" si="0"/>
        <v>0</v>
      </c>
      <c r="G15" s="69">
        <v>0</v>
      </c>
      <c r="J15" s="182">
        <f>IF($D15="CAL",ROUND(($G15*(1+'Salary Inflation'!$B$35))*$E15,0),IF($D15="ACAD",($G15/0.9965)*(1+'Salary Inflation'!$O$46)*$E15,IF($D15="SUMR",($G15)*(1+'Salary Inflation'!$O$47)*$E15,"NA")))</f>
        <v>0</v>
      </c>
      <c r="K15" s="151">
        <f>IF(D15="CAL",ROUND(J15*'RATES-Non Fed'!$E$38,0),IF(D15="ACAD",J15*'RATES-Non Fed'!$E$44,J15*'RATES-Non Fed'!$E$45))</f>
        <v>0</v>
      </c>
      <c r="L15" s="67">
        <f t="shared" si="4"/>
        <v>0</v>
      </c>
      <c r="M15" s="182">
        <f>IF($D15="CAL",ROUND((J15*(1+'Salary Inflation'!$C$35)),0),IF($D15="ACAD",(J15)*(1+'Salary Inflation'!$C$36),IF($D15="SUMR",(J15)*(1+'Salary Inflation'!$C$37),"NA")))</f>
        <v>0</v>
      </c>
      <c r="N15" s="151">
        <f>IF($D15="CAL",ROUND(M15*'RATES-Non Fed'!$G$38,0),IF($D15="ACAD",M15*'RATES-Non Fed'!$G$44,M15*'RATES-Non Fed'!$G$45))</f>
        <v>0</v>
      </c>
      <c r="O15" s="67">
        <f t="shared" si="1"/>
        <v>0</v>
      </c>
      <c r="P15" s="182">
        <f>IF($D15="CAL",ROUND((M15*(1+'Salary Inflation'!$D$35)),0),IF($D15="ACAD",(M15)*(1+'Salary Inflation'!$D$36),IF($D15="SUMR",(M15)*(1+'Salary Inflation'!$D$37),"NA")))</f>
        <v>0</v>
      </c>
      <c r="Q15" s="151">
        <f>IF($D15="CAL",ROUND(P15*'RATES-Non Fed'!$I$38,0),IF($D15="ACAD",P15*'RATES-Non Fed'!$I$44,P15*'RATES-Non Fed'!$I$45))</f>
        <v>0</v>
      </c>
      <c r="R15" s="67">
        <f t="shared" si="2"/>
        <v>0</v>
      </c>
      <c r="S15" s="182">
        <f>IF($D15="CAL",ROUND((P15*(1+'Salary Inflation'!$E$35)),0),IF($D15="ACAD",(P15)*(1+'Salary Inflation'!$E$36),IF($D15="SUMR",(P15)*(1+'Salary Inflation'!$E$37),"NA")))</f>
        <v>0</v>
      </c>
      <c r="T15" s="151">
        <f>IF($D15="CAL",ROUND(S15*'RATES-Non Fed'!$K$38,0),IF($D15="ACAD",S15*'RATES-Non Fed'!$K$44,S15*'RATES-Non Fed'!$K$45))</f>
        <v>0</v>
      </c>
      <c r="U15" s="67">
        <f t="shared" si="5"/>
        <v>0</v>
      </c>
      <c r="V15" s="182">
        <f>IF($D15="CAL",ROUND((S15*(1+'Salary Inflation'!$F$35)),0),IF($D15="ACAD",(S15)*(1+'Salary Inflation'!$F$36),IF($D15="SUMR",(S15)*(1+'Salary Inflation'!$F$37),"NA")))</f>
        <v>0</v>
      </c>
      <c r="W15" s="151">
        <f>IF($D15="CAL",ROUND(V15*'RATES-Non Fed'!$M$38,0),IF($D15="ACAD",V15*'RATES-Non Fed'!$M$44,V15*'RATES-Non Fed'!$M$45))</f>
        <v>0</v>
      </c>
      <c r="X15" s="67">
        <f t="shared" si="3"/>
        <v>0</v>
      </c>
      <c r="Y15" s="42">
        <f t="shared" si="6"/>
        <v>0</v>
      </c>
      <c r="Z15" s="1"/>
    </row>
    <row r="16" spans="1:25" ht="15.75">
      <c r="A16" s="1"/>
      <c r="B16" s="1"/>
      <c r="C16" s="3"/>
      <c r="D16" s="135" t="str">
        <f>IF(D15="ACAD",("SUMR"),"")</f>
        <v>SUMR</v>
      </c>
      <c r="E16" s="70">
        <v>0</v>
      </c>
      <c r="F16" s="94">
        <f t="shared" si="0"/>
        <v>0</v>
      </c>
      <c r="G16" s="69">
        <f>IF(D15="ACAD",+G15*0.428,0)</f>
        <v>0</v>
      </c>
      <c r="J16" s="182">
        <f>IF($D16="CAL",ROUND(($G16*(1+'Salary Inflation'!$B$35))*$E16,0),IF($D16="ACAD",($G16/0.9965)*(1+'Salary Inflation'!$O$46)*$E16,IF($D16="SUMR",($G16)*(1+'Salary Inflation'!$O$47)*$E16,"NA")))</f>
        <v>0</v>
      </c>
      <c r="K16" s="151">
        <f>IF(D16="CAL",ROUND(J16*'RATES-Non Fed'!$E$38,0),IF(D16="ACAD",J16*'RATES-Non Fed'!$E$44,J16*'RATES-Non Fed'!$E$45))</f>
        <v>0</v>
      </c>
      <c r="L16" s="67">
        <f t="shared" si="4"/>
        <v>0</v>
      </c>
      <c r="M16" s="182">
        <f>IF($D16="CAL",ROUND((J16*(1+'Salary Inflation'!$C$35)),0),IF($D16="ACAD",(J16)*(1+'Salary Inflation'!$C$36),IF($D16="SUMR",(J16)*(1+'Salary Inflation'!$C$37),"NA")))</f>
        <v>0</v>
      </c>
      <c r="N16" s="151">
        <f>IF($D16="CAL",ROUND(M16*'RATES-Non Fed'!$G$38,0),IF($D16="ACAD",M16*'RATES-Non Fed'!$G$44,M16*'RATES-Non Fed'!$G$45))</f>
        <v>0</v>
      </c>
      <c r="O16" s="67">
        <f t="shared" si="1"/>
        <v>0</v>
      </c>
      <c r="P16" s="182">
        <f>IF($D16="CAL",ROUND((M16*(1+'Salary Inflation'!$D$35)),0),IF($D16="ACAD",(M16)*(1+'Salary Inflation'!$D$36),IF($D16="SUMR",(M16)*(1+'Salary Inflation'!$D$37),"NA")))</f>
        <v>0</v>
      </c>
      <c r="Q16" s="151">
        <f>IF($D16="CAL",ROUND(P16*'RATES-Non Fed'!$I$38,0),IF($D16="ACAD",P16*'RATES-Non Fed'!$I$44,P16*'RATES-Non Fed'!$I$45))</f>
        <v>0</v>
      </c>
      <c r="R16" s="67">
        <f t="shared" si="2"/>
        <v>0</v>
      </c>
      <c r="S16" s="182">
        <f>IF($D16="CAL",ROUND((P16*(1+'Salary Inflation'!$E$35)),0),IF($D16="ACAD",(P16)*(1+'Salary Inflation'!$E$36),IF($D16="SUMR",(P16)*(1+'Salary Inflation'!$E$37),"NA")))</f>
        <v>0</v>
      </c>
      <c r="T16" s="151">
        <f>IF($D16="CAL",ROUND(S16*'RATES-Non Fed'!$K$38,0),IF($D16="ACAD",S16*'RATES-Non Fed'!$K$44,S16*'RATES-Non Fed'!$K$45))</f>
        <v>0</v>
      </c>
      <c r="U16" s="67">
        <f t="shared" si="5"/>
        <v>0</v>
      </c>
      <c r="V16" s="182">
        <f>IF($D16="CAL",ROUND((S16*(1+'Salary Inflation'!$F$35)),0),IF($D16="ACAD",(S16)*(1+'Salary Inflation'!$F$36),IF($D16="SUMR",(S16)*(1+'Salary Inflation'!$F$37),"NA")))</f>
        <v>0</v>
      </c>
      <c r="W16" s="151">
        <f>IF($D16="CAL",ROUND(V16*'RATES-Non Fed'!$M$38,0),IF($D16="ACAD",V16*'RATES-Non Fed'!$M$44,V16*'RATES-Non Fed'!$M$45))</f>
        <v>0</v>
      </c>
      <c r="X16" s="67">
        <f t="shared" si="3"/>
        <v>0</v>
      </c>
      <c r="Y16" s="42">
        <f t="shared" si="6"/>
        <v>0</v>
      </c>
    </row>
    <row r="17" spans="1:26" ht="15.75">
      <c r="A17" s="1"/>
      <c r="B17" s="1" t="s">
        <v>15</v>
      </c>
      <c r="C17" s="3"/>
      <c r="D17" s="135" t="s">
        <v>122</v>
      </c>
      <c r="E17" s="70">
        <v>0</v>
      </c>
      <c r="F17" s="94">
        <f t="shared" si="0"/>
        <v>0</v>
      </c>
      <c r="G17" s="69">
        <v>0</v>
      </c>
      <c r="J17" s="182">
        <f>IF($D17="CAL",ROUND(($G17*(1+'Salary Inflation'!$B$35))*$E17,0),IF($D17="ACAD",($G17/0.9965)*(1+'Salary Inflation'!$O$46)*$E17,IF($D17="SUMR",($G17)*(1+'Salary Inflation'!$O$47)*$E17,"NA")))</f>
        <v>0</v>
      </c>
      <c r="K17" s="151">
        <f>IF(D17="CAL",ROUND(J17*'RATES-Non Fed'!$E$38,0),IF(D17="ACAD",J17*'RATES-Non Fed'!$E$44,J17*'RATES-Non Fed'!$E$45))</f>
        <v>0</v>
      </c>
      <c r="L17" s="271">
        <f t="shared" si="4"/>
        <v>0</v>
      </c>
      <c r="M17" s="182">
        <f>IF($D17="CAL",ROUND((J17*(1+'Salary Inflation'!$C$35)),0),IF($D17="ACAD",(J17)*(1+'Salary Inflation'!$C$36),IF($D17="SUMR",(J17)*(1+'Salary Inflation'!$C$37),"NA")))</f>
        <v>0</v>
      </c>
      <c r="N17" s="151">
        <f>IF($D17="CAL",ROUND(M17*'RATES-Non Fed'!$G$38,0),IF($D17="ACAD",M17*'RATES-Non Fed'!$G$44,M17*'RATES-Non Fed'!$G$45))</f>
        <v>0</v>
      </c>
      <c r="O17" s="271">
        <f t="shared" si="1"/>
        <v>0</v>
      </c>
      <c r="P17" s="182">
        <f>IF($D17="CAL",ROUND((M17*(1+'Salary Inflation'!$D$35)),0),IF($D17="ACAD",(M17)*(1+'Salary Inflation'!$D$36),IF($D17="SUMR",(M17)*(1+'Salary Inflation'!$D$37),"NA")))</f>
        <v>0</v>
      </c>
      <c r="Q17" s="151">
        <f>IF($D17="CAL",ROUND(P17*'RATES-Non Fed'!$I$38,0),IF($D17="ACAD",P17*'RATES-Non Fed'!$I$44,P17*'RATES-Non Fed'!$I$45))</f>
        <v>0</v>
      </c>
      <c r="R17" s="67">
        <f t="shared" si="2"/>
        <v>0</v>
      </c>
      <c r="S17" s="182">
        <f>IF($D17="CAL",ROUND((P17*(1+'Salary Inflation'!$E$35)),0),IF($D17="ACAD",(P17)*(1+'Salary Inflation'!$E$36),IF($D17="SUMR",(P17)*(1+'Salary Inflation'!$E$37),"NA")))</f>
        <v>0</v>
      </c>
      <c r="T17" s="151">
        <f>IF($D17="CAL",ROUND(S17*'RATES-Non Fed'!$K$38,0),IF($D17="ACAD",S17*'RATES-Non Fed'!$K$44,S17*'RATES-Non Fed'!$K$45))</f>
        <v>0</v>
      </c>
      <c r="U17" s="67">
        <f t="shared" si="5"/>
        <v>0</v>
      </c>
      <c r="V17" s="182">
        <f>IF($D17="CAL",ROUND((S17*(1+'Salary Inflation'!$F$35)),0),IF($D17="ACAD",(S17)*(1+'Salary Inflation'!$F$36),IF($D17="SUMR",(S17)*(1+'Salary Inflation'!$F$37),"NA")))</f>
        <v>0</v>
      </c>
      <c r="W17" s="151">
        <f>IF($D17="CAL",ROUND(V17*'RATES-Non Fed'!$M$38,0),IF($D17="ACAD",V17*'RATES-Non Fed'!$M$44,V17*'RATES-Non Fed'!$M$45))</f>
        <v>0</v>
      </c>
      <c r="X17" s="67">
        <f t="shared" si="3"/>
        <v>0</v>
      </c>
      <c r="Y17" s="42">
        <f t="shared" si="6"/>
        <v>0</v>
      </c>
      <c r="Z17" s="1"/>
    </row>
    <row r="18" spans="1:25" ht="15.75">
      <c r="A18" s="1"/>
      <c r="B18" s="1" t="s">
        <v>15</v>
      </c>
      <c r="C18" s="3"/>
      <c r="D18" s="135" t="s">
        <v>122</v>
      </c>
      <c r="E18" s="70">
        <v>0</v>
      </c>
      <c r="F18" s="94">
        <f t="shared" si="0"/>
        <v>0</v>
      </c>
      <c r="G18" s="69">
        <v>0</v>
      </c>
      <c r="J18" s="182">
        <f>IF($D18="CAL",ROUND(($G18*(1+'Salary Inflation'!$B$35))*$E18,0),IF($D18="ACAD",($G18/0.9965)*(1+'Salary Inflation'!$O$46)*$E18,IF($D18="SUMR",($G18)*(1+'Salary Inflation'!$O$47)*$E18,"NA")))</f>
        <v>0</v>
      </c>
      <c r="K18" s="151">
        <f>IF(D18="CAL",ROUND(J18*'RATES-Non Fed'!$E$38,0),IF(D18="ACAD",J18*'RATES-Non Fed'!$E$44,J18*'RATES-Non Fed'!$E$45))</f>
        <v>0</v>
      </c>
      <c r="L18" s="201">
        <f t="shared" si="4"/>
        <v>0</v>
      </c>
      <c r="M18" s="195">
        <f>IF($D18="CAL",ROUND((J18*(1+'Salary Inflation'!$C$35)),0),IF($D18="ACAD",(J18)*(1+'Salary Inflation'!$C$36),IF($D18="SUMR",(J18)*(1+'Salary Inflation'!$C$37),"NA")))</f>
        <v>0</v>
      </c>
      <c r="N18" s="200">
        <f>IF($D18="CAL",ROUND(M18*'RATES-Non Fed'!$G$38,0),IF($D18="ACAD",M18*'RATES-Non Fed'!$G$44,M18*'RATES-Non Fed'!$G$45))</f>
        <v>0</v>
      </c>
      <c r="O18" s="201">
        <f t="shared" si="1"/>
        <v>0</v>
      </c>
      <c r="P18" s="195">
        <f>IF($D18="CAL",ROUND((M18*(1+'Salary Inflation'!$D$35)),0),IF($D18="ACAD",(M18)*(1+'Salary Inflation'!$D$36),IF($D18="SUMR",(M18)*(1+'Salary Inflation'!$D$37),"NA")))</f>
        <v>0</v>
      </c>
      <c r="Q18" s="200">
        <f>IF($D18="CAL",ROUND(P18*'RATES-Non Fed'!$I$38,0),IF($D18="ACAD",P18*'RATES-Non Fed'!$I$44,P18*'RATES-Non Fed'!$I$45))</f>
        <v>0</v>
      </c>
      <c r="R18" s="201">
        <f t="shared" si="2"/>
        <v>0</v>
      </c>
      <c r="S18" s="195">
        <f>IF($D18="CAL",ROUND((P18*(1+'Salary Inflation'!$E$35)),0),IF($D18="ACAD",(P18)*(1+'Salary Inflation'!$E$36),IF($D18="SUMR",(P18)*(1+'Salary Inflation'!$E$37),"NA")))</f>
        <v>0</v>
      </c>
      <c r="T18" s="200">
        <f>IF($D18="CAL",ROUND(S18*'RATES-Non Fed'!$K$38,0),IF($D18="ACAD",S18*'RATES-Non Fed'!$K$44,S18*'RATES-Non Fed'!$K$45))</f>
        <v>0</v>
      </c>
      <c r="U18" s="201">
        <f t="shared" si="5"/>
        <v>0</v>
      </c>
      <c r="V18" s="195">
        <f>IF($D18="CAL",ROUND((S18*(1+'Salary Inflation'!$F$35)),0),IF($D18="ACAD",(S18)*(1+'Salary Inflation'!$F$36),IF($D18="SUMR",(S18)*(1+'Salary Inflation'!$F$37),"NA")))</f>
        <v>0</v>
      </c>
      <c r="W18" s="200">
        <f>IF($D18="CAL",ROUND(V18*'RATES-Non Fed'!$M$38,0),IF($D18="ACAD",V18*'RATES-Non Fed'!$M$44,V18*'RATES-Non Fed'!$M$45))</f>
        <v>0</v>
      </c>
      <c r="X18" s="201">
        <f t="shared" si="3"/>
        <v>0</v>
      </c>
      <c r="Y18" s="198">
        <f t="shared" si="6"/>
        <v>0</v>
      </c>
    </row>
    <row r="19" spans="1:26" ht="15.75">
      <c r="A19" s="1"/>
      <c r="B19" s="1"/>
      <c r="C19" s="1"/>
      <c r="D19" s="25" t="s">
        <v>16</v>
      </c>
      <c r="E19" s="26"/>
      <c r="F19" s="26"/>
      <c r="G19" s="1"/>
      <c r="H19" s="1"/>
      <c r="I19" s="1"/>
      <c r="J19" s="199">
        <f aca="true" t="shared" si="7" ref="J19:U19">SUM(J11:J18)</f>
        <v>0</v>
      </c>
      <c r="K19" s="152">
        <f t="shared" si="7"/>
        <v>0</v>
      </c>
      <c r="L19" s="46">
        <f t="shared" si="7"/>
        <v>0</v>
      </c>
      <c r="M19" s="199">
        <f t="shared" si="7"/>
        <v>0</v>
      </c>
      <c r="N19" s="152">
        <f t="shared" si="7"/>
        <v>0</v>
      </c>
      <c r="O19" s="46">
        <f t="shared" si="7"/>
        <v>0</v>
      </c>
      <c r="P19" s="199">
        <f t="shared" si="7"/>
        <v>0</v>
      </c>
      <c r="Q19" s="152">
        <f t="shared" si="7"/>
        <v>0</v>
      </c>
      <c r="R19" s="46">
        <f t="shared" si="7"/>
        <v>0</v>
      </c>
      <c r="S19" s="199">
        <f t="shared" si="7"/>
        <v>0</v>
      </c>
      <c r="T19" s="152">
        <f t="shared" si="7"/>
        <v>0</v>
      </c>
      <c r="U19" s="46">
        <f t="shared" si="7"/>
        <v>0</v>
      </c>
      <c r="V19" s="199">
        <f>SUM(V11:V18)</f>
        <v>0</v>
      </c>
      <c r="W19" s="152">
        <f>SUM(W11:W18)</f>
        <v>0</v>
      </c>
      <c r="X19" s="46">
        <f>SUM(X11:X18)</f>
        <v>0</v>
      </c>
      <c r="Y19" s="42">
        <f>SUM(Y11:Y18)</f>
        <v>0</v>
      </c>
      <c r="Z19" s="6"/>
    </row>
    <row r="20" spans="1:24" ht="15.75">
      <c r="A20" s="21" t="s">
        <v>217</v>
      </c>
      <c r="B20" s="21" t="s">
        <v>218</v>
      </c>
      <c r="C20" s="1"/>
      <c r="D20" s="25"/>
      <c r="E20" s="26"/>
      <c r="F20" s="26"/>
      <c r="G20" s="1"/>
      <c r="H20" s="1"/>
      <c r="I20" s="1"/>
      <c r="J20" s="199"/>
      <c r="K20" s="152"/>
      <c r="L20" s="46"/>
      <c r="M20" s="42"/>
      <c r="N20" s="6"/>
      <c r="O20"/>
      <c r="Q20"/>
      <c r="R20"/>
      <c r="T20"/>
      <c r="U20"/>
      <c r="V20"/>
      <c r="W20"/>
      <c r="X20"/>
    </row>
    <row r="21" spans="1:25" ht="15.75">
      <c r="A21" s="1"/>
      <c r="B21" s="1" t="s">
        <v>15</v>
      </c>
      <c r="C21" s="3"/>
      <c r="D21" s="135" t="s">
        <v>122</v>
      </c>
      <c r="E21" s="70">
        <v>0</v>
      </c>
      <c r="F21" s="94">
        <f>IF(D21="CAL",(52*E21/4.3333),(IF(D21="ACAD",(32*E21/4.33333),IF(D21="SUMR",(14*E21/4.33333),IF(D21="PT",(0),0)))))</f>
        <v>0</v>
      </c>
      <c r="G21" s="69">
        <v>0</v>
      </c>
      <c r="J21" s="182">
        <f>ROUND(($G21*(1+'Salary Inflation'!$B$39))*$E21,0)</f>
        <v>0</v>
      </c>
      <c r="K21" s="151">
        <f>ROUND(J21*'RATES-Non Fed'!E40,0)</f>
        <v>0</v>
      </c>
      <c r="L21" s="67">
        <f>ROUND(K21+J21,0)</f>
        <v>0</v>
      </c>
      <c r="M21" s="182">
        <f>ROUND(J21*(1+'Salary Inflation'!$C$39),0)</f>
        <v>0</v>
      </c>
      <c r="N21" s="151">
        <f>ROUND(M21*'RATES-Non Fed'!G40,0)</f>
        <v>0</v>
      </c>
      <c r="O21" s="67">
        <f>ROUND(M21+N21,0)</f>
        <v>0</v>
      </c>
      <c r="P21" s="182">
        <f>ROUND((M21*1.02),0)</f>
        <v>0</v>
      </c>
      <c r="Q21" s="151">
        <f>ROUND(P21*'RATES-Non Fed'!I40,0)</f>
        <v>0</v>
      </c>
      <c r="R21" s="67">
        <f>ROUND(P21+Q21,0)</f>
        <v>0</v>
      </c>
      <c r="S21" s="182">
        <f>ROUND(P21*(1+'Salary Inflation'!$C$39),0)</f>
        <v>0</v>
      </c>
      <c r="T21" s="151">
        <f>ROUND(S21*'RATES-Non Fed'!K40,0)</f>
        <v>0</v>
      </c>
      <c r="U21" s="76">
        <f>SUM(S21:T21)</f>
        <v>0</v>
      </c>
      <c r="V21" s="182">
        <f>ROUND(S21*(1+'Salary Inflation'!$C$39),0)</f>
        <v>0</v>
      </c>
      <c r="W21" s="151">
        <f>ROUND(V21*'RATES-Non Fed'!M40,0)</f>
        <v>0</v>
      </c>
      <c r="X21" s="76">
        <f>SUM(V21:W21)</f>
        <v>0</v>
      </c>
      <c r="Y21" s="42">
        <f>SUM(L21+O21+R21+U21+X21)</f>
        <v>0</v>
      </c>
    </row>
    <row r="22" spans="1:25" ht="15.75">
      <c r="A22" s="1"/>
      <c r="B22" s="1" t="s">
        <v>15</v>
      </c>
      <c r="C22" s="3"/>
      <c r="D22" s="135" t="s">
        <v>122</v>
      </c>
      <c r="E22" s="70">
        <v>0</v>
      </c>
      <c r="F22" s="94">
        <f>IF(D22="CAL",(52*E22/4.3333),(IF(D22="ACAD",(32*E22/4.33333),IF(D22="SUMR",(14*E22/4.33333),IF(D22="PT",(0),0)))))</f>
        <v>0</v>
      </c>
      <c r="G22" s="69">
        <v>0</v>
      </c>
      <c r="J22" s="182">
        <f>ROUND(($G22*(1+'Salary Inflation'!$B$39))*$E22,0)</f>
        <v>0</v>
      </c>
      <c r="K22" s="151">
        <f>ROUND(J22*'RATES-Non Fed'!E40,0)</f>
        <v>0</v>
      </c>
      <c r="L22" s="67">
        <f>ROUND(K22+J22,0)</f>
        <v>0</v>
      </c>
      <c r="M22" s="182">
        <f>ROUND(J22*(1+'Salary Inflation'!$C$39),0)</f>
        <v>0</v>
      </c>
      <c r="N22" s="151">
        <f>ROUND(M22*'RATES-Non Fed'!G40,0)</f>
        <v>0</v>
      </c>
      <c r="O22" s="67">
        <f>ROUND(M22+N22,0)</f>
        <v>0</v>
      </c>
      <c r="P22" s="182">
        <f>ROUND((M22*1.02),0)</f>
        <v>0</v>
      </c>
      <c r="Q22" s="151">
        <f>ROUND(P22*'RATES-Non Fed'!I40,0)</f>
        <v>0</v>
      </c>
      <c r="R22" s="67">
        <f>ROUND(P22+Q22,0)</f>
        <v>0</v>
      </c>
      <c r="S22" s="182">
        <f>ROUND(P22*(1+'Salary Inflation'!$C$39),0)</f>
        <v>0</v>
      </c>
      <c r="T22" s="151">
        <f>ROUND(S22*'RATES-Non Fed'!K40,0)</f>
        <v>0</v>
      </c>
      <c r="U22" s="76">
        <f>SUM(S22:T22)</f>
        <v>0</v>
      </c>
      <c r="V22" s="182">
        <f>ROUND(S22*(1+'Salary Inflation'!$C$39),0)</f>
        <v>0</v>
      </c>
      <c r="W22" s="151">
        <f>ROUND(V22*'RATES-Non Fed'!M40,0)</f>
        <v>0</v>
      </c>
      <c r="X22" s="76">
        <f>SUM(V22:W22)</f>
        <v>0</v>
      </c>
      <c r="Y22" s="42">
        <f>SUM(L22+O22+R22+U22+X22)</f>
        <v>0</v>
      </c>
    </row>
    <row r="23" spans="1:25" ht="15.75">
      <c r="A23" s="1"/>
      <c r="B23" s="1" t="s">
        <v>15</v>
      </c>
      <c r="C23" s="3"/>
      <c r="D23" s="135" t="s">
        <v>122</v>
      </c>
      <c r="E23" s="70">
        <v>0</v>
      </c>
      <c r="F23" s="94">
        <f>IF(D23="CAL",(52*E23/4.3333),(IF(D23="ACAD",(32*E23/4.33333),IF(D23="SUMR",(14*E23/4.33333),IF(D23="PT",(0),0)))))</f>
        <v>0</v>
      </c>
      <c r="G23" s="69">
        <v>0</v>
      </c>
      <c r="J23" s="182">
        <f>ROUND(($G23*(1+'Salary Inflation'!$B$39))*$E23,0)</f>
        <v>0</v>
      </c>
      <c r="K23" s="151">
        <f>ROUND(J23*'RATES-Non Fed'!E40,0)</f>
        <v>0</v>
      </c>
      <c r="L23" s="67">
        <f>ROUND(K23+J23,0)</f>
        <v>0</v>
      </c>
      <c r="M23" s="182">
        <f>ROUND(J23*(1+'Salary Inflation'!$C$39),0)</f>
        <v>0</v>
      </c>
      <c r="N23" s="151">
        <f>ROUND(M23*'RATES-Non Fed'!G40,0)</f>
        <v>0</v>
      </c>
      <c r="O23" s="67">
        <f>ROUND(M23+N23,0)</f>
        <v>0</v>
      </c>
      <c r="P23" s="182">
        <f>ROUND((M23*1.02),0)</f>
        <v>0</v>
      </c>
      <c r="Q23" s="151">
        <f>ROUND(P23*'RATES-Non Fed'!I40,0)</f>
        <v>0</v>
      </c>
      <c r="R23" s="67">
        <f>ROUND(P23+Q23,0)</f>
        <v>0</v>
      </c>
      <c r="S23" s="182">
        <f>ROUND(P23*(1+'Salary Inflation'!$C$39),0)</f>
        <v>0</v>
      </c>
      <c r="T23" s="151">
        <f>ROUND(S23*'RATES-Non Fed'!K40,0)</f>
        <v>0</v>
      </c>
      <c r="U23" s="76">
        <f>SUM(S23:T23)</f>
        <v>0</v>
      </c>
      <c r="V23" s="182">
        <f>ROUND(S23*(1+'Salary Inflation'!$C$39),0)</f>
        <v>0</v>
      </c>
      <c r="W23" s="151">
        <f>ROUND(V23*'RATES-Non Fed'!M40,0)</f>
        <v>0</v>
      </c>
      <c r="X23" s="76">
        <f>SUM(V23:W23)</f>
        <v>0</v>
      </c>
      <c r="Y23" s="42">
        <f>SUM(L23+O23+R23+U23+X23)</f>
        <v>0</v>
      </c>
    </row>
    <row r="24" spans="1:25" ht="15.75">
      <c r="A24" s="1"/>
      <c r="B24" s="1" t="s">
        <v>15</v>
      </c>
      <c r="C24" s="3"/>
      <c r="D24" s="135" t="s">
        <v>122</v>
      </c>
      <c r="E24" s="70">
        <v>0</v>
      </c>
      <c r="F24" s="94">
        <f>IF(D24="CAL",(52*E24/4.3333),(IF(D24="ACAD",(32*E24/4.33333),IF(D24="SUMR",(14*E24/4.33333),IF(D24="PT",(0),0)))))</f>
        <v>0</v>
      </c>
      <c r="G24" s="69">
        <v>0</v>
      </c>
      <c r="J24" s="195">
        <f>ROUND(($G24*(1+'Salary Inflation'!$B$39))*$E24,0)</f>
        <v>0</v>
      </c>
      <c r="K24" s="200">
        <f>ROUND(J24*'RATES-Non Fed'!E40,0)</f>
        <v>0</v>
      </c>
      <c r="L24" s="201">
        <f>ROUND(K24+J24,0)</f>
        <v>0</v>
      </c>
      <c r="M24" s="195">
        <f>ROUND(J24*(1+'Salary Inflation'!$C$39),0)</f>
        <v>0</v>
      </c>
      <c r="N24" s="200">
        <f>ROUND(M24*'RATES-Non Fed'!G40,0)</f>
        <v>0</v>
      </c>
      <c r="O24" s="201">
        <f>ROUND(M24+N24,0)</f>
        <v>0</v>
      </c>
      <c r="P24" s="195">
        <f>ROUND((M24*1.02),0)</f>
        <v>0</v>
      </c>
      <c r="Q24" s="200">
        <f>ROUND(P24*'RATES-Non Fed'!I40,0)</f>
        <v>0</v>
      </c>
      <c r="R24" s="201">
        <f>ROUND(P24+Q24,0)</f>
        <v>0</v>
      </c>
      <c r="S24" s="195">
        <f>ROUND(P24*(1+'Salary Inflation'!$C$39),0)</f>
        <v>0</v>
      </c>
      <c r="T24" s="200">
        <f>ROUND(S24*'RATES-Non Fed'!K40,0)</f>
        <v>0</v>
      </c>
      <c r="U24" s="272">
        <f>SUM(S24:T24)</f>
        <v>0</v>
      </c>
      <c r="V24" s="195">
        <f>ROUND(S24*(1+'Salary Inflation'!$C$39),0)</f>
        <v>0</v>
      </c>
      <c r="W24" s="200">
        <f>ROUND(V24*'RATES-Non Fed'!M40,0)</f>
        <v>0</v>
      </c>
      <c r="X24" s="272">
        <f>SUM(V24:W24)</f>
        <v>0</v>
      </c>
      <c r="Y24" s="198">
        <f>SUM(L24+O24+R24+U24+X24)</f>
        <v>0</v>
      </c>
    </row>
    <row r="25" spans="1:25" ht="15.75">
      <c r="A25" s="1"/>
      <c r="B25" s="1"/>
      <c r="C25" s="1"/>
      <c r="D25" s="25" t="s">
        <v>222</v>
      </c>
      <c r="E25" s="26"/>
      <c r="F25" s="26"/>
      <c r="G25" s="1"/>
      <c r="H25" s="1"/>
      <c r="I25" s="1"/>
      <c r="J25" s="186">
        <f aca="true" t="shared" si="8" ref="J25:T25">SUM(J21:J24)</f>
        <v>0</v>
      </c>
      <c r="K25" s="152">
        <f t="shared" si="8"/>
        <v>0</v>
      </c>
      <c r="L25" s="46">
        <f t="shared" si="8"/>
        <v>0</v>
      </c>
      <c r="M25" s="76">
        <f t="shared" si="8"/>
        <v>0</v>
      </c>
      <c r="N25" s="6">
        <f t="shared" si="8"/>
        <v>0</v>
      </c>
      <c r="O25" s="76">
        <f t="shared" si="8"/>
        <v>0</v>
      </c>
      <c r="P25" s="42">
        <f t="shared" si="8"/>
        <v>0</v>
      </c>
      <c r="Q25" s="42">
        <f t="shared" si="8"/>
        <v>0</v>
      </c>
      <c r="R25" s="76">
        <f t="shared" si="8"/>
        <v>0</v>
      </c>
      <c r="S25" s="42">
        <f t="shared" si="8"/>
        <v>0</v>
      </c>
      <c r="T25" s="42">
        <f t="shared" si="8"/>
        <v>0</v>
      </c>
      <c r="U25" s="76">
        <f>SUM(U21:U24)</f>
        <v>0</v>
      </c>
      <c r="V25" s="42">
        <f>SUM(V21:V24)</f>
        <v>0</v>
      </c>
      <c r="W25" s="42">
        <f>SUM(W21:W24)</f>
        <v>0</v>
      </c>
      <c r="X25" s="76">
        <f>SUM(X21:X24)</f>
        <v>0</v>
      </c>
      <c r="Y25" s="42">
        <f>SUM(Y21:Y24)</f>
        <v>0</v>
      </c>
    </row>
    <row r="26" spans="1:25" ht="7.5" customHeight="1">
      <c r="A26" s="1"/>
      <c r="B26" s="1"/>
      <c r="C26" s="1"/>
      <c r="D26" s="26"/>
      <c r="E26" s="26"/>
      <c r="F26" s="26"/>
      <c r="G26" s="1"/>
      <c r="H26" s="1"/>
      <c r="I26" s="1"/>
      <c r="J26" s="187"/>
      <c r="K26" s="152"/>
      <c r="L26" s="46"/>
      <c r="M26" s="181"/>
      <c r="N26" s="152"/>
      <c r="O26" s="46"/>
      <c r="P26" s="181"/>
      <c r="Q26" s="152"/>
      <c r="R26" s="46"/>
      <c r="S26" s="181"/>
      <c r="T26" s="6"/>
      <c r="U26"/>
      <c r="V26" s="181"/>
      <c r="W26" s="6"/>
      <c r="X26"/>
      <c r="Y26" s="42"/>
    </row>
    <row r="27" spans="1:25" ht="15.75">
      <c r="A27" s="22" t="s">
        <v>219</v>
      </c>
      <c r="B27" s="22" t="s">
        <v>17</v>
      </c>
      <c r="C27" s="1"/>
      <c r="D27" s="26"/>
      <c r="E27" s="1"/>
      <c r="F27" s="1"/>
      <c r="G27" s="41"/>
      <c r="H27" s="1"/>
      <c r="I27" s="1"/>
      <c r="J27" s="185"/>
      <c r="K27" s="148"/>
      <c r="L27" s="138"/>
      <c r="M27" s="185"/>
      <c r="N27" s="152"/>
      <c r="O27" s="46"/>
      <c r="P27" s="185"/>
      <c r="Q27" s="152"/>
      <c r="R27" s="46"/>
      <c r="S27" s="185"/>
      <c r="T27" s="6"/>
      <c r="U27"/>
      <c r="V27" s="185"/>
      <c r="W27" s="6"/>
      <c r="X27"/>
      <c r="Y27" s="42"/>
    </row>
    <row r="28" spans="1:25" ht="15.75">
      <c r="A28" s="1"/>
      <c r="C28" s="13" t="s">
        <v>86</v>
      </c>
      <c r="D28" s="41" t="s">
        <v>119</v>
      </c>
      <c r="E28" s="68"/>
      <c r="F28" s="68"/>
      <c r="G28" s="59"/>
      <c r="J28" s="182"/>
      <c r="K28" s="261"/>
      <c r="L28" s="50"/>
      <c r="M28" s="182"/>
      <c r="N28" s="262"/>
      <c r="O28" s="143"/>
      <c r="P28" s="182"/>
      <c r="Q28" s="262"/>
      <c r="R28" s="143"/>
      <c r="S28" s="182"/>
      <c r="T28" s="5"/>
      <c r="U28"/>
      <c r="V28" s="182"/>
      <c r="W28" s="5"/>
      <c r="X28"/>
      <c r="Y28" s="42"/>
    </row>
    <row r="29" spans="1:25" ht="15.75">
      <c r="A29" s="1"/>
      <c r="C29" s="13"/>
      <c r="D29" s="1"/>
      <c r="E29" s="70">
        <v>0</v>
      </c>
      <c r="F29" s="93">
        <f>SUM(52*E29/4.3333)</f>
        <v>0</v>
      </c>
      <c r="G29" s="69">
        <v>0</v>
      </c>
      <c r="J29" s="182">
        <f>ROUND(($G29*(1+'Salary Inflation'!$B$38))*$E29,0)</f>
        <v>0</v>
      </c>
      <c r="K29" s="298">
        <v>0</v>
      </c>
      <c r="L29" s="299">
        <f>SUM(J29:K29)</f>
        <v>0</v>
      </c>
      <c r="M29" s="182">
        <f>ROUND(J29*(1+'Salary Inflation'!$C$38),0)</f>
        <v>0</v>
      </c>
      <c r="N29" s="298">
        <v>0</v>
      </c>
      <c r="O29" s="299">
        <f>SUM(M29:N29)</f>
        <v>0</v>
      </c>
      <c r="P29" s="182">
        <f>ROUND(M29*(1+'Salary Inflation'!$D$38),0)</f>
        <v>0</v>
      </c>
      <c r="Q29" s="298">
        <v>0</v>
      </c>
      <c r="R29" s="299">
        <f>SUM(P29:Q29)</f>
        <v>0</v>
      </c>
      <c r="S29" s="182">
        <f>ROUND(P29*(1+'Salary Inflation'!$E$38),0)</f>
        <v>0</v>
      </c>
      <c r="T29" s="298">
        <v>0</v>
      </c>
      <c r="U29" s="299">
        <f>SUM(S29:T29)</f>
        <v>0</v>
      </c>
      <c r="V29" s="182">
        <f>ROUND(S29*(1+'Salary Inflation'!$F$38),0)</f>
        <v>0</v>
      </c>
      <c r="W29" s="261">
        <f>ROUND(V29*'RATES-Non Fed'!M39,0)</f>
        <v>0</v>
      </c>
      <c r="X29" s="50">
        <f>SUM(V29:W29)</f>
        <v>0</v>
      </c>
      <c r="Y29" s="42">
        <f>SUM(L29+O29+R29+U29+X29)</f>
        <v>0</v>
      </c>
    </row>
    <row r="30" spans="1:25" ht="15.75">
      <c r="A30" s="1"/>
      <c r="C30" s="13"/>
      <c r="D30" s="1"/>
      <c r="E30" s="70">
        <v>0</v>
      </c>
      <c r="F30" s="93">
        <f>SUM(52*E30/4.3333)</f>
        <v>0</v>
      </c>
      <c r="G30" s="69">
        <v>0</v>
      </c>
      <c r="J30" s="182">
        <f>ROUND(($G30*(1+'Salary Inflation'!$B$38))*$E30,0)</f>
        <v>0</v>
      </c>
      <c r="K30" s="298">
        <v>0</v>
      </c>
      <c r="L30" s="299">
        <f>SUM(J30:K30)</f>
        <v>0</v>
      </c>
      <c r="M30" s="182">
        <f>ROUND(J30*(1+'Salary Inflation'!$C$38),0)</f>
        <v>0</v>
      </c>
      <c r="N30" s="298">
        <v>0</v>
      </c>
      <c r="O30" s="299">
        <f>SUM(M30:N30)</f>
        <v>0</v>
      </c>
      <c r="P30" s="182">
        <f>ROUND(M30*(1+'Salary Inflation'!$D$38),0)</f>
        <v>0</v>
      </c>
      <c r="Q30" s="298">
        <v>0</v>
      </c>
      <c r="R30" s="299">
        <f>SUM(P30:Q30)</f>
        <v>0</v>
      </c>
      <c r="S30" s="182">
        <f>ROUND(P30*(1+'Salary Inflation'!$E$38),0)</f>
        <v>0</v>
      </c>
      <c r="T30" s="298">
        <v>0</v>
      </c>
      <c r="U30" s="299">
        <f>SUM(S30:T30)</f>
        <v>0</v>
      </c>
      <c r="V30" s="182">
        <f>ROUND(S30*(1+'Salary Inflation'!$F$38),0)</f>
        <v>0</v>
      </c>
      <c r="W30" s="261">
        <f>ROUND(V30*'RATES-Non Fed'!M39,0)</f>
        <v>0</v>
      </c>
      <c r="X30" s="50">
        <f>SUM(V30:W30)</f>
        <v>0</v>
      </c>
      <c r="Y30" s="42">
        <f>SUM(L30+O30+R30+U30+X30)</f>
        <v>0</v>
      </c>
    </row>
    <row r="31" spans="1:25" ht="15.75">
      <c r="A31" s="1"/>
      <c r="C31" s="13"/>
      <c r="D31" s="1"/>
      <c r="E31" s="70">
        <v>0</v>
      </c>
      <c r="F31" s="93">
        <f>SUM(52*E31/4.3333)</f>
        <v>0</v>
      </c>
      <c r="G31" s="69">
        <v>0</v>
      </c>
      <c r="J31" s="195">
        <f>ROUND(($G31*(1+'Salary Inflation'!$B$38))*$E31,0)</f>
        <v>0</v>
      </c>
      <c r="K31" s="300">
        <v>0</v>
      </c>
      <c r="L31" s="301">
        <f>SUM(J31:K31)</f>
        <v>0</v>
      </c>
      <c r="M31" s="195">
        <f>ROUND(J31*(1+'Salary Inflation'!$C$38),0)</f>
        <v>0</v>
      </c>
      <c r="N31" s="300">
        <v>0</v>
      </c>
      <c r="O31" s="301">
        <f>SUM(M31:N31)</f>
        <v>0</v>
      </c>
      <c r="P31" s="195">
        <f>ROUND(M31*(1+'Salary Inflation'!$D$38),0)</f>
        <v>0</v>
      </c>
      <c r="Q31" s="300">
        <v>0</v>
      </c>
      <c r="R31" s="301">
        <f>SUM(P31:Q31)</f>
        <v>0</v>
      </c>
      <c r="S31" s="195">
        <f>ROUND(P31*(1+'Salary Inflation'!$E$38),0)</f>
        <v>0</v>
      </c>
      <c r="T31" s="300">
        <v>0</v>
      </c>
      <c r="U31" s="301">
        <f>SUM(S31:T31)</f>
        <v>0</v>
      </c>
      <c r="V31" s="195">
        <f>ROUND(S31*(1+'Salary Inflation'!$F$38),0)</f>
        <v>0</v>
      </c>
      <c r="W31" s="196">
        <f>ROUND(V31*'RATES-Non Fed'!M39,0)</f>
        <v>0</v>
      </c>
      <c r="X31" s="197">
        <f>SUM(V31:W31)</f>
        <v>0</v>
      </c>
      <c r="Y31" s="42">
        <f>SUM(L31+O31+R31+U31+X31)</f>
        <v>0</v>
      </c>
    </row>
    <row r="32" spans="1:25" ht="15.75">
      <c r="A32" s="1"/>
      <c r="C32" s="13"/>
      <c r="D32" s="1" t="s">
        <v>120</v>
      </c>
      <c r="E32" s="70"/>
      <c r="F32" s="70"/>
      <c r="G32" s="69"/>
      <c r="J32" s="182">
        <f aca="true" t="shared" si="9" ref="J32:V32">SUM(J29:J31)</f>
        <v>0</v>
      </c>
      <c r="K32" s="298">
        <f t="shared" si="9"/>
        <v>0</v>
      </c>
      <c r="L32" s="299">
        <f t="shared" si="9"/>
        <v>0</v>
      </c>
      <c r="M32" s="182">
        <f t="shared" si="9"/>
        <v>0</v>
      </c>
      <c r="N32" s="262">
        <f t="shared" si="9"/>
        <v>0</v>
      </c>
      <c r="O32" s="143">
        <f t="shared" si="9"/>
        <v>0</v>
      </c>
      <c r="P32" s="182">
        <f t="shared" si="9"/>
        <v>0</v>
      </c>
      <c r="Q32" s="262">
        <f t="shared" si="9"/>
        <v>0</v>
      </c>
      <c r="R32" s="143">
        <f t="shared" si="9"/>
        <v>0</v>
      </c>
      <c r="S32" s="182">
        <f t="shared" si="9"/>
        <v>0</v>
      </c>
      <c r="T32" s="262">
        <f t="shared" si="9"/>
        <v>0</v>
      </c>
      <c r="U32" s="143">
        <f t="shared" si="9"/>
        <v>0</v>
      </c>
      <c r="V32" s="182">
        <f t="shared" si="9"/>
        <v>0</v>
      </c>
      <c r="W32" s="262">
        <f>SUM(W29:W31)</f>
        <v>0</v>
      </c>
      <c r="X32" s="143">
        <f>SUM(X29:X31)</f>
        <v>0</v>
      </c>
      <c r="Y32" s="42">
        <f>SUM(Y29:Y31)</f>
        <v>0</v>
      </c>
    </row>
    <row r="33" spans="1:25" ht="9.75" customHeight="1">
      <c r="A33" s="1"/>
      <c r="C33" s="13"/>
      <c r="D33" s="1"/>
      <c r="E33" s="70"/>
      <c r="F33" s="70"/>
      <c r="G33" s="69"/>
      <c r="J33" s="182"/>
      <c r="K33" s="298"/>
      <c r="L33" s="299"/>
      <c r="M33" s="182"/>
      <c r="N33" s="262"/>
      <c r="O33" s="143"/>
      <c r="P33" s="182"/>
      <c r="Q33" s="262"/>
      <c r="R33" s="143"/>
      <c r="T33" s="75"/>
      <c r="U33"/>
      <c r="V33"/>
      <c r="W33" s="5"/>
      <c r="X33"/>
      <c r="Y33" s="42"/>
    </row>
    <row r="34" spans="1:25" ht="15.75">
      <c r="A34" s="1"/>
      <c r="C34" s="13" t="s">
        <v>87</v>
      </c>
      <c r="D34" s="1"/>
      <c r="E34" s="70">
        <v>0</v>
      </c>
      <c r="F34" s="93">
        <f>SUM(52*E34/4.3333)</f>
        <v>0</v>
      </c>
      <c r="G34" s="69">
        <v>0</v>
      </c>
      <c r="J34" s="182">
        <f>ROUND(($G34*(1+'Salary Inflation'!$B$38))*$E34,0)</f>
        <v>0</v>
      </c>
      <c r="K34" s="298">
        <v>0</v>
      </c>
      <c r="L34" s="299">
        <f>SUM(J34:K34)</f>
        <v>0</v>
      </c>
      <c r="M34" s="182">
        <f>ROUND(J34*(1+'Salary Inflation'!$C$38),0)</f>
        <v>0</v>
      </c>
      <c r="N34" s="298">
        <v>0</v>
      </c>
      <c r="O34" s="299">
        <f>SUM(M34:N34)</f>
        <v>0</v>
      </c>
      <c r="P34" s="182">
        <f>ROUND(M34*(1+'Salary Inflation'!$D$38),0)</f>
        <v>0</v>
      </c>
      <c r="Q34" s="298">
        <v>0</v>
      </c>
      <c r="R34" s="299">
        <f>SUM(P34:Q34)</f>
        <v>0</v>
      </c>
      <c r="S34" s="182">
        <f>ROUND(P34*(1+'Salary Inflation'!$E$38),0)</f>
        <v>0</v>
      </c>
      <c r="T34" s="298">
        <v>0</v>
      </c>
      <c r="U34" s="299">
        <f>SUM(S34:T34)</f>
        <v>0</v>
      </c>
      <c r="V34" s="182">
        <f>ROUND(S34*(1+'Salary Inflation'!$F$38),0)</f>
        <v>0</v>
      </c>
      <c r="W34" s="261">
        <f>ROUND(V34*'RATES-Non Fed'!M43,0)</f>
        <v>0</v>
      </c>
      <c r="X34" s="50">
        <f>SUM(V34:W34)</f>
        <v>0</v>
      </c>
      <c r="Y34" s="42">
        <f>SUM(L34+O34+R34+U34+X34)</f>
        <v>0</v>
      </c>
    </row>
    <row r="35" spans="1:25" ht="15.75">
      <c r="A35" s="1"/>
      <c r="C35" s="13" t="s">
        <v>18</v>
      </c>
      <c r="D35" s="1"/>
      <c r="E35" s="70">
        <v>0</v>
      </c>
      <c r="F35" s="93">
        <f>SUM(52*E35/4.3333)</f>
        <v>0</v>
      </c>
      <c r="G35" s="69">
        <v>0</v>
      </c>
      <c r="J35" s="182">
        <f>ROUND(($G35*(1+'Salary Inflation'!$B$38))*$E35,0)</f>
        <v>0</v>
      </c>
      <c r="K35" s="298">
        <v>0</v>
      </c>
      <c r="L35" s="299">
        <f>SUM(J35:K35)</f>
        <v>0</v>
      </c>
      <c r="M35" s="182">
        <f>ROUND(J35*(1+'Salary Inflation'!$C$38),0)</f>
        <v>0</v>
      </c>
      <c r="N35" s="298">
        <v>0</v>
      </c>
      <c r="O35" s="299">
        <f>SUM(M35:N35)</f>
        <v>0</v>
      </c>
      <c r="P35" s="182">
        <f>ROUND(M35*(1+'Salary Inflation'!$D$38),0)</f>
        <v>0</v>
      </c>
      <c r="Q35" s="298">
        <v>0</v>
      </c>
      <c r="R35" s="299">
        <f>SUM(P35:Q35)</f>
        <v>0</v>
      </c>
      <c r="S35" s="182">
        <f>ROUND(P35*(1+'Salary Inflation'!$E$38),0)</f>
        <v>0</v>
      </c>
      <c r="T35" s="298">
        <v>0</v>
      </c>
      <c r="U35" s="299">
        <f>SUM(S35:T35)</f>
        <v>0</v>
      </c>
      <c r="V35" s="182">
        <f>ROUND((S35*1.02),0)</f>
        <v>0</v>
      </c>
      <c r="W35" s="261">
        <f>ROUND(V35*'RATES-Non Fed'!M42,0)</f>
        <v>0</v>
      </c>
      <c r="X35" s="50">
        <f>SUM(V35:W35)</f>
        <v>0</v>
      </c>
      <c r="Y35" s="42">
        <f>SUM(L35+O35+R35+U35+X35)</f>
        <v>0</v>
      </c>
    </row>
    <row r="36" spans="1:25" ht="15.75">
      <c r="A36" s="1"/>
      <c r="C36" s="13" t="s">
        <v>19</v>
      </c>
      <c r="D36" s="1"/>
      <c r="E36" s="70">
        <v>0</v>
      </c>
      <c r="F36" s="93">
        <f>SUM(52*E36/4.3333)</f>
        <v>0</v>
      </c>
      <c r="G36" s="69">
        <v>0</v>
      </c>
      <c r="J36" s="182">
        <f>ROUND(($G36*(1+'Salary Inflation'!$B$38))*$E36,0)</f>
        <v>0</v>
      </c>
      <c r="K36" s="298">
        <v>0</v>
      </c>
      <c r="L36" s="299">
        <f>SUM(J36:K36)</f>
        <v>0</v>
      </c>
      <c r="M36" s="182">
        <f>ROUND(J36*(1+'Salary Inflation'!$C$38),0)</f>
        <v>0</v>
      </c>
      <c r="N36" s="298">
        <v>0</v>
      </c>
      <c r="O36" s="299">
        <f>SUM(M36:N36)</f>
        <v>0</v>
      </c>
      <c r="P36" s="182">
        <f>ROUND(M36*(1+'Salary Inflation'!$D$38),0)</f>
        <v>0</v>
      </c>
      <c r="Q36" s="298">
        <v>0</v>
      </c>
      <c r="R36" s="299">
        <f>SUM(P36:Q36)</f>
        <v>0</v>
      </c>
      <c r="S36" s="182">
        <f>ROUND(P36*(1+'Salary Inflation'!$E$38),0)</f>
        <v>0</v>
      </c>
      <c r="T36" s="298">
        <v>0</v>
      </c>
      <c r="U36" s="299">
        <f>SUM(S36:T36)</f>
        <v>0</v>
      </c>
      <c r="V36" s="182">
        <f>ROUND(S36*(1+'Salary Inflation'!$F$38),0)</f>
        <v>0</v>
      </c>
      <c r="W36" s="261">
        <f>ROUND(V36*'RATES-Non Fed'!M42,0)</f>
        <v>0</v>
      </c>
      <c r="X36" s="50">
        <f>SUM(V36:W36)</f>
        <v>0</v>
      </c>
      <c r="Y36" s="42">
        <f>SUM(L36+O36+R36+U36+X36)</f>
        <v>0</v>
      </c>
    </row>
    <row r="37" spans="1:25" s="90" customFormat="1" ht="15.75">
      <c r="A37" s="138"/>
      <c r="C37" s="137" t="s">
        <v>20</v>
      </c>
      <c r="D37" s="138"/>
      <c r="E37" s="70">
        <v>0</v>
      </c>
      <c r="F37" s="93">
        <f>SUM(52*E37/4.3333)</f>
        <v>0</v>
      </c>
      <c r="G37" s="69">
        <v>0</v>
      </c>
      <c r="J37" s="182">
        <f>ROUND(($G37*(1+'Salary Inflation'!$B$38))*$E37,0)</f>
        <v>0</v>
      </c>
      <c r="K37" s="298">
        <v>0</v>
      </c>
      <c r="L37" s="299">
        <f>SUM(J37:K37)</f>
        <v>0</v>
      </c>
      <c r="M37" s="182">
        <f>ROUND(J37*(1+'Salary Inflation'!$C$38),0)</f>
        <v>0</v>
      </c>
      <c r="N37" s="298">
        <v>0</v>
      </c>
      <c r="O37" s="299">
        <f>SUM(M37:N37)</f>
        <v>0</v>
      </c>
      <c r="P37" s="182">
        <f>ROUND(M37*(1+'Salary Inflation'!$D$38),0)</f>
        <v>0</v>
      </c>
      <c r="Q37" s="298">
        <v>0</v>
      </c>
      <c r="R37" s="299">
        <f>SUM(P37:Q37)</f>
        <v>0</v>
      </c>
      <c r="S37" s="182">
        <f>ROUND(P37*(1+'Salary Inflation'!$E$38),0)</f>
        <v>0</v>
      </c>
      <c r="T37" s="298">
        <v>0</v>
      </c>
      <c r="U37" s="299">
        <f>SUM(S37:T37)</f>
        <v>0</v>
      </c>
      <c r="V37" s="182">
        <f>ROUND(S37*(1+'Salary Inflation'!$F$38),0)</f>
        <v>0</v>
      </c>
      <c r="W37" s="261">
        <f>ROUND(V37*'RATES-Non Fed'!M43,0)</f>
        <v>0</v>
      </c>
      <c r="X37" s="50">
        <f>SUM(V37:W37)</f>
        <v>0</v>
      </c>
      <c r="Y37" s="42">
        <f>SUM(L37+O37+R37+U37+X37)</f>
        <v>0</v>
      </c>
    </row>
    <row r="38" spans="1:26" s="90" customFormat="1" ht="15.75">
      <c r="A38" s="138"/>
      <c r="C38" s="137" t="s">
        <v>88</v>
      </c>
      <c r="D38" s="138"/>
      <c r="E38" s="70">
        <v>0</v>
      </c>
      <c r="F38" s="93">
        <f>SUM(52*E38/4.3333)</f>
        <v>0</v>
      </c>
      <c r="G38" s="69">
        <v>0</v>
      </c>
      <c r="J38" s="195">
        <f>ROUND(($G38*(1+'Salary Inflation'!$B$38))*$E38,0)</f>
        <v>0</v>
      </c>
      <c r="K38" s="300">
        <v>0</v>
      </c>
      <c r="L38" s="301">
        <f>SUM(J38:K38)</f>
        <v>0</v>
      </c>
      <c r="M38" s="195">
        <f>ROUND(J38*(1+'Salary Inflation'!$C$38),0)</f>
        <v>0</v>
      </c>
      <c r="N38" s="203">
        <v>0</v>
      </c>
      <c r="O38" s="301">
        <f>SUM(M38:N38)</f>
        <v>0</v>
      </c>
      <c r="P38" s="195">
        <f>ROUND(M38*(1+'Salary Inflation'!$D$38),0)</f>
        <v>0</v>
      </c>
      <c r="Q38" s="203">
        <v>0</v>
      </c>
      <c r="R38" s="301">
        <f>SUM(P38:Q38)</f>
        <v>0</v>
      </c>
      <c r="S38" s="195">
        <f>ROUND(P38*(1+'Salary Inflation'!$E$38),0)</f>
        <v>0</v>
      </c>
      <c r="T38" s="203">
        <v>0</v>
      </c>
      <c r="U38" s="301">
        <f>SUM(S38:T38)</f>
        <v>0</v>
      </c>
      <c r="V38" s="195">
        <f>ROUND(S38*(1+'Salary Inflation'!$F$38),0)</f>
        <v>0</v>
      </c>
      <c r="W38" s="203">
        <f>ROUND(V38*'RATES-Non Fed'!M41,0)</f>
        <v>0</v>
      </c>
      <c r="X38" s="197">
        <f>SUM(V38:W38)</f>
        <v>0</v>
      </c>
      <c r="Y38" s="42">
        <f>SUM(L38+O38+R38+U38+X38)</f>
        <v>0</v>
      </c>
      <c r="Z38" s="273"/>
    </row>
    <row r="39" spans="1:25" ht="15.75">
      <c r="A39" s="1"/>
      <c r="B39" s="1"/>
      <c r="C39" s="1"/>
      <c r="D39" s="183" t="s">
        <v>183</v>
      </c>
      <c r="E39" s="26"/>
      <c r="F39" s="26"/>
      <c r="G39" s="1"/>
      <c r="H39" s="1"/>
      <c r="I39" s="1"/>
      <c r="J39" s="202">
        <f aca="true" t="shared" si="10" ref="J39:U39">SUM(J19+J25+J32+J34+J35+J36+J37+J38)</f>
        <v>0</v>
      </c>
      <c r="K39" s="261">
        <f t="shared" si="10"/>
        <v>0</v>
      </c>
      <c r="L39" s="50">
        <f t="shared" si="10"/>
        <v>0</v>
      </c>
      <c r="M39" s="202">
        <f t="shared" si="10"/>
        <v>0</v>
      </c>
      <c r="N39" s="261">
        <f t="shared" si="10"/>
        <v>0</v>
      </c>
      <c r="O39" s="50">
        <f t="shared" si="10"/>
        <v>0</v>
      </c>
      <c r="P39" s="202">
        <f t="shared" si="10"/>
        <v>0</v>
      </c>
      <c r="Q39" s="261">
        <f t="shared" si="10"/>
        <v>0</v>
      </c>
      <c r="R39" s="50">
        <f t="shared" si="10"/>
        <v>0</v>
      </c>
      <c r="S39" s="202">
        <f t="shared" si="10"/>
        <v>0</v>
      </c>
      <c r="T39" s="261">
        <f t="shared" si="10"/>
        <v>0</v>
      </c>
      <c r="U39" s="50">
        <f t="shared" si="10"/>
        <v>0</v>
      </c>
      <c r="V39" s="202">
        <f>SUM(V19+V25+V32+V34+V35+V36+V37+V38)</f>
        <v>0</v>
      </c>
      <c r="W39" s="261">
        <f>SUM(W19+W25+W32+W34+W35+W36+W37+W38)</f>
        <v>0</v>
      </c>
      <c r="X39" s="50">
        <f>SUM(X19+X25+X32+X34+X35+X36+X37+X38)</f>
        <v>0</v>
      </c>
      <c r="Y39" s="42">
        <f>SUM(Y34:Y38)</f>
        <v>0</v>
      </c>
    </row>
    <row r="40" spans="1:26" ht="7.5" customHeight="1">
      <c r="A40" s="1"/>
      <c r="B40" s="1"/>
      <c r="C40" s="1"/>
      <c r="D40" s="26"/>
      <c r="E40" s="26"/>
      <c r="F40" s="26"/>
      <c r="G40" s="26"/>
      <c r="H40" s="26"/>
      <c r="I40" s="26"/>
      <c r="J40" s="52"/>
      <c r="K40" s="152"/>
      <c r="L40" s="171"/>
      <c r="M40" s="64"/>
      <c r="P40" s="64"/>
      <c r="Q40" s="152"/>
      <c r="R40" s="46"/>
      <c r="S40" s="64"/>
      <c r="T40" s="152"/>
      <c r="U40" s="46"/>
      <c r="V40" s="46"/>
      <c r="W40" s="46"/>
      <c r="X40" s="46"/>
      <c r="Y40" s="64" t="s">
        <v>1</v>
      </c>
      <c r="Z40" s="6"/>
    </row>
    <row r="41" spans="1:26" s="31" customFormat="1" ht="15.75">
      <c r="A41" s="40" t="s">
        <v>23</v>
      </c>
      <c r="B41" s="21"/>
      <c r="D41" s="28"/>
      <c r="E41" s="28"/>
      <c r="F41" s="28"/>
      <c r="G41" s="28"/>
      <c r="H41" s="28"/>
      <c r="I41" s="28"/>
      <c r="J41" s="47">
        <f>SUM(J39+K39)</f>
        <v>0</v>
      </c>
      <c r="K41" s="154"/>
      <c r="L41" s="173"/>
      <c r="M41" s="47">
        <f>SUM(M39+N39)</f>
        <v>0</v>
      </c>
      <c r="N41" s="154"/>
      <c r="O41" s="139"/>
      <c r="P41" s="47">
        <f>SUM(P39+Q39)</f>
        <v>0</v>
      </c>
      <c r="Q41" s="154"/>
      <c r="R41" s="139"/>
      <c r="S41" s="47">
        <f>SUM(S39+T39)</f>
        <v>0</v>
      </c>
      <c r="T41" s="154"/>
      <c r="U41" s="139"/>
      <c r="V41" s="47">
        <f>SUM(V39+W39)</f>
        <v>0</v>
      </c>
      <c r="W41" s="139"/>
      <c r="X41" s="139"/>
      <c r="Y41" s="47">
        <f>SUM(J41+M41+P41+S41+V41)</f>
        <v>0</v>
      </c>
      <c r="Z41" s="29"/>
    </row>
    <row r="42" spans="1:26" ht="8.25" customHeight="1">
      <c r="A42" s="1"/>
      <c r="B42" s="1"/>
      <c r="C42" s="28"/>
      <c r="D42" s="26"/>
      <c r="E42" s="26"/>
      <c r="F42" s="26"/>
      <c r="G42" s="26"/>
      <c r="H42" s="26"/>
      <c r="I42" s="26"/>
      <c r="J42" s="52"/>
      <c r="K42" s="152"/>
      <c r="L42" s="171"/>
      <c r="M42" s="46"/>
      <c r="N42" s="152"/>
      <c r="O42" s="46"/>
      <c r="P42" s="46"/>
      <c r="Q42" s="152"/>
      <c r="R42" s="46"/>
      <c r="S42" s="46"/>
      <c r="T42" s="152"/>
      <c r="U42" s="46"/>
      <c r="V42" s="46"/>
      <c r="W42" s="46"/>
      <c r="X42" s="46"/>
      <c r="Y42" s="46" t="s">
        <v>1</v>
      </c>
      <c r="Z42" s="6"/>
    </row>
    <row r="43" spans="1:26" ht="15.75">
      <c r="A43" s="22" t="s">
        <v>24</v>
      </c>
      <c r="B43" s="22" t="s">
        <v>25</v>
      </c>
      <c r="C43" s="21"/>
      <c r="D43" s="26"/>
      <c r="E43" s="26"/>
      <c r="F43" s="26"/>
      <c r="G43" s="26"/>
      <c r="H43" s="26"/>
      <c r="I43" s="26"/>
      <c r="J43" s="52"/>
      <c r="K43" s="152"/>
      <c r="L43" s="171"/>
      <c r="M43" s="50"/>
      <c r="N43" s="152"/>
      <c r="O43" s="46"/>
      <c r="P43" s="50"/>
      <c r="Q43" s="152"/>
      <c r="R43" s="46"/>
      <c r="S43" s="50"/>
      <c r="T43" s="152"/>
      <c r="U43" s="46"/>
      <c r="V43" s="46"/>
      <c r="W43" s="46"/>
      <c r="X43" s="46"/>
      <c r="Y43" s="50" t="s">
        <v>1</v>
      </c>
      <c r="Z43" s="6"/>
    </row>
    <row r="44" spans="1:26" ht="15.75">
      <c r="A44" s="21"/>
      <c r="B44" s="21"/>
      <c r="C44" s="10" t="s">
        <v>26</v>
      </c>
      <c r="D44" s="30"/>
      <c r="E44" s="30"/>
      <c r="F44" s="30"/>
      <c r="G44" s="30"/>
      <c r="H44" s="30"/>
      <c r="I44" s="30"/>
      <c r="J44" s="42">
        <v>0</v>
      </c>
      <c r="K44" s="152"/>
      <c r="L44" s="171"/>
      <c r="M44" s="42">
        <v>0</v>
      </c>
      <c r="N44" s="261"/>
      <c r="O44" s="50"/>
      <c r="P44" s="42">
        <v>0</v>
      </c>
      <c r="Q44" s="261"/>
      <c r="R44" s="50"/>
      <c r="S44" s="42">
        <v>0</v>
      </c>
      <c r="T44" s="261"/>
      <c r="U44" s="50"/>
      <c r="V44" s="42">
        <v>0</v>
      </c>
      <c r="W44" s="50"/>
      <c r="X44" s="50"/>
      <c r="Y44" s="42">
        <f>+J44+M44+P44+S44+V44</f>
        <v>0</v>
      </c>
      <c r="Z44" s="6"/>
    </row>
    <row r="45" spans="1:26" ht="15.75">
      <c r="A45" s="21"/>
      <c r="B45" s="21"/>
      <c r="C45" s="10" t="s">
        <v>26</v>
      </c>
      <c r="D45" s="30"/>
      <c r="E45" s="30"/>
      <c r="F45" s="30"/>
      <c r="G45" s="30"/>
      <c r="H45" s="30"/>
      <c r="I45" s="30"/>
      <c r="J45" s="42">
        <v>0</v>
      </c>
      <c r="K45" s="152"/>
      <c r="L45" s="171"/>
      <c r="M45" s="42">
        <v>0</v>
      </c>
      <c r="N45" s="261"/>
      <c r="O45" s="50"/>
      <c r="P45" s="42">
        <v>0</v>
      </c>
      <c r="Q45" s="261"/>
      <c r="R45" s="50"/>
      <c r="S45" s="42">
        <v>0</v>
      </c>
      <c r="T45" s="261"/>
      <c r="U45" s="50"/>
      <c r="V45" s="42">
        <v>0</v>
      </c>
      <c r="W45" s="50"/>
      <c r="X45" s="50"/>
      <c r="Y45" s="42">
        <f>+J45+M45+P45+S45+V45</f>
        <v>0</v>
      </c>
      <c r="Z45" s="6"/>
    </row>
    <row r="46" spans="1:26" ht="15.75">
      <c r="A46" s="21"/>
      <c r="B46" s="21"/>
      <c r="C46" s="27" t="s">
        <v>27</v>
      </c>
      <c r="D46" s="28"/>
      <c r="E46" s="28"/>
      <c r="F46" s="28"/>
      <c r="G46" s="28"/>
      <c r="H46" s="28"/>
      <c r="I46" s="28"/>
      <c r="J46" s="53">
        <f>SUM(J44:J45)</f>
        <v>0</v>
      </c>
      <c r="K46" s="155"/>
      <c r="L46" s="174"/>
      <c r="M46" s="53">
        <f>SUM(M44:M45)</f>
        <v>0</v>
      </c>
      <c r="N46" s="155"/>
      <c r="O46" s="48"/>
      <c r="P46" s="53">
        <f>SUM(P44:P45)</f>
        <v>0</v>
      </c>
      <c r="Q46" s="155"/>
      <c r="R46" s="48"/>
      <c r="S46" s="53">
        <f>SUM(S44:S45)</f>
        <v>0</v>
      </c>
      <c r="T46" s="155"/>
      <c r="U46" s="48"/>
      <c r="V46" s="53">
        <f>SUM(V44:V45)</f>
        <v>0</v>
      </c>
      <c r="W46" s="48"/>
      <c r="X46" s="48"/>
      <c r="Y46" s="53">
        <f>SUM(Y44:Y45)</f>
        <v>0</v>
      </c>
      <c r="Z46" s="29"/>
    </row>
    <row r="47" spans="1:26" ht="9" customHeight="1">
      <c r="A47" s="1"/>
      <c r="B47" s="1"/>
      <c r="C47" s="28"/>
      <c r="D47" s="26"/>
      <c r="E47" s="26"/>
      <c r="F47" s="26"/>
      <c r="G47" s="26"/>
      <c r="H47" s="26"/>
      <c r="I47" s="26"/>
      <c r="J47" s="52"/>
      <c r="K47" s="152"/>
      <c r="L47" s="171"/>
      <c r="M47" s="46"/>
      <c r="N47" s="152"/>
      <c r="O47" s="46"/>
      <c r="P47" s="46"/>
      <c r="Q47" s="152"/>
      <c r="R47" s="46"/>
      <c r="S47" s="46"/>
      <c r="T47" s="152"/>
      <c r="U47" s="46"/>
      <c r="V47" s="46"/>
      <c r="W47" s="46"/>
      <c r="X47" s="46"/>
      <c r="Y47" s="46"/>
      <c r="Z47" s="6"/>
    </row>
    <row r="48" spans="1:26" ht="15.75">
      <c r="A48" s="22" t="s">
        <v>28</v>
      </c>
      <c r="B48" s="22" t="s">
        <v>29</v>
      </c>
      <c r="C48" s="1"/>
      <c r="D48" s="21"/>
      <c r="E48" s="21"/>
      <c r="F48" s="21"/>
      <c r="G48" s="1"/>
      <c r="H48" s="1"/>
      <c r="I48" s="1"/>
      <c r="J48" s="54" t="s">
        <v>1</v>
      </c>
      <c r="K48" s="261"/>
      <c r="L48" s="172"/>
      <c r="M48" s="45" t="s">
        <v>1</v>
      </c>
      <c r="N48" s="261"/>
      <c r="O48" s="50"/>
      <c r="P48" s="45" t="s">
        <v>1</v>
      </c>
      <c r="Q48" s="261"/>
      <c r="R48" s="50"/>
      <c r="S48" s="45" t="s">
        <v>1</v>
      </c>
      <c r="T48" s="261"/>
      <c r="U48" s="50"/>
      <c r="V48" s="50"/>
      <c r="W48" s="50"/>
      <c r="X48" s="50"/>
      <c r="Y48" s="45"/>
      <c r="Z48" s="5"/>
    </row>
    <row r="49" spans="1:26" ht="15.75">
      <c r="A49" s="21"/>
      <c r="B49" s="21"/>
      <c r="C49" s="13" t="s">
        <v>30</v>
      </c>
      <c r="D49" s="10" t="s">
        <v>26</v>
      </c>
      <c r="E49" s="31"/>
      <c r="F49" s="31"/>
      <c r="J49" s="42">
        <v>0</v>
      </c>
      <c r="K49" s="261"/>
      <c r="L49" s="172"/>
      <c r="M49" s="42">
        <f>ROUND((J49*1.02),0)</f>
        <v>0</v>
      </c>
      <c r="N49" s="262"/>
      <c r="O49" s="143"/>
      <c r="P49" s="42">
        <f>ROUND((M49*1.02),0)</f>
        <v>0</v>
      </c>
      <c r="Q49" s="262"/>
      <c r="R49" s="143"/>
      <c r="S49" s="42">
        <f>ROUND((P49*1.02),0)</f>
        <v>0</v>
      </c>
      <c r="T49" s="262"/>
      <c r="U49" s="143"/>
      <c r="V49" s="42">
        <f>ROUND((S49*1.02),0)</f>
        <v>0</v>
      </c>
      <c r="W49" s="143"/>
      <c r="X49" s="143"/>
      <c r="Y49" s="42">
        <f>+J49+M49+P49+S49+V49</f>
        <v>0</v>
      </c>
      <c r="Z49" s="5"/>
    </row>
    <row r="50" spans="1:26" ht="15.75">
      <c r="A50" s="21"/>
      <c r="B50" s="21"/>
      <c r="C50" s="13" t="s">
        <v>31</v>
      </c>
      <c r="D50" s="10" t="s">
        <v>26</v>
      </c>
      <c r="E50" s="31"/>
      <c r="F50" s="31"/>
      <c r="J50" s="42">
        <v>0</v>
      </c>
      <c r="K50" s="261"/>
      <c r="L50" s="172"/>
      <c r="M50" s="42">
        <f>ROUND((J50*1.02),0)</f>
        <v>0</v>
      </c>
      <c r="N50" s="262"/>
      <c r="O50" s="143"/>
      <c r="P50" s="42">
        <f>ROUND((M50*1.02),0)</f>
        <v>0</v>
      </c>
      <c r="Q50" s="262"/>
      <c r="R50" s="143"/>
      <c r="S50" s="42">
        <f>ROUND((P50*1.02),0)</f>
        <v>0</v>
      </c>
      <c r="T50" s="262"/>
      <c r="U50" s="143"/>
      <c r="V50" s="42">
        <f>ROUND((S50*1.02),0)</f>
        <v>0</v>
      </c>
      <c r="W50" s="143"/>
      <c r="X50" s="143"/>
      <c r="Y50" s="42">
        <f>+J50+M50+P50+S50+V50</f>
        <v>0</v>
      </c>
      <c r="Z50" s="5"/>
    </row>
    <row r="51" spans="1:26" s="31" customFormat="1" ht="15.75">
      <c r="A51" s="21"/>
      <c r="B51" s="21"/>
      <c r="C51" s="27" t="s">
        <v>32</v>
      </c>
      <c r="D51" s="28"/>
      <c r="E51" s="28"/>
      <c r="F51" s="28"/>
      <c r="G51" s="28"/>
      <c r="H51" s="28"/>
      <c r="I51" s="28"/>
      <c r="J51" s="53">
        <f>SUM(J49:J50)</f>
        <v>0</v>
      </c>
      <c r="K51" s="155"/>
      <c r="L51" s="174"/>
      <c r="M51" s="55">
        <f>SUM(M49:M50)</f>
        <v>0</v>
      </c>
      <c r="N51" s="155"/>
      <c r="O51" s="48"/>
      <c r="P51" s="55">
        <f>SUM(P49:P50)</f>
        <v>0</v>
      </c>
      <c r="Q51" s="155"/>
      <c r="R51" s="48"/>
      <c r="S51" s="55">
        <f>SUM(S49:S50)</f>
        <v>0</v>
      </c>
      <c r="T51" s="155"/>
      <c r="U51" s="48"/>
      <c r="V51" s="55">
        <f>SUM(V49:V50)</f>
        <v>0</v>
      </c>
      <c r="W51" s="48"/>
      <c r="X51" s="48"/>
      <c r="Y51" s="55">
        <f>SUM(Y49:Y50)</f>
        <v>0</v>
      </c>
      <c r="Z51" s="29"/>
    </row>
    <row r="52" spans="1:26" ht="10.5" customHeight="1">
      <c r="A52" s="1"/>
      <c r="B52" s="1"/>
      <c r="C52" s="28"/>
      <c r="D52" s="26"/>
      <c r="E52" s="26"/>
      <c r="F52" s="26"/>
      <c r="G52" s="26"/>
      <c r="H52" s="26"/>
      <c r="I52" s="26"/>
      <c r="J52" s="52"/>
      <c r="K52" s="152"/>
      <c r="L52" s="171"/>
      <c r="M52" s="42"/>
      <c r="N52" s="152"/>
      <c r="O52" s="46"/>
      <c r="P52" s="42"/>
      <c r="Q52" s="152"/>
      <c r="R52" s="46"/>
      <c r="S52" s="42"/>
      <c r="T52" s="152"/>
      <c r="U52" s="46"/>
      <c r="V52" s="46"/>
      <c r="W52" s="46"/>
      <c r="X52" s="46"/>
      <c r="Y52" s="42"/>
      <c r="Z52" s="6"/>
    </row>
    <row r="53" spans="1:26" ht="15.75">
      <c r="A53" s="22" t="s">
        <v>33</v>
      </c>
      <c r="B53" s="22" t="s">
        <v>34</v>
      </c>
      <c r="C53" s="21"/>
      <c r="D53" s="21"/>
      <c r="E53" s="21"/>
      <c r="F53" s="21"/>
      <c r="G53" s="1"/>
      <c r="H53" s="1"/>
      <c r="I53" s="1"/>
      <c r="J53" s="54" t="s">
        <v>1</v>
      </c>
      <c r="K53" s="261"/>
      <c r="L53" s="172"/>
      <c r="M53" s="42" t="s">
        <v>1</v>
      </c>
      <c r="N53" s="261"/>
      <c r="O53" s="50"/>
      <c r="P53" s="42" t="s">
        <v>1</v>
      </c>
      <c r="Q53" s="261"/>
      <c r="R53" s="50"/>
      <c r="S53" s="42" t="s">
        <v>1</v>
      </c>
      <c r="T53" s="261"/>
      <c r="U53" s="50"/>
      <c r="V53" s="50"/>
      <c r="W53" s="50"/>
      <c r="X53" s="50"/>
      <c r="Y53" s="42"/>
      <c r="Z53" s="5"/>
    </row>
    <row r="54" spans="1:26" ht="15.75">
      <c r="A54" s="21"/>
      <c r="B54" s="21"/>
      <c r="C54" s="13" t="s">
        <v>35</v>
      </c>
      <c r="D54" s="3"/>
      <c r="E54" s="31"/>
      <c r="F54" s="31"/>
      <c r="J54" s="42">
        <v>0</v>
      </c>
      <c r="K54" s="261"/>
      <c r="L54" s="172"/>
      <c r="M54" s="42">
        <f>ROUND((J54*1.02),0)</f>
        <v>0</v>
      </c>
      <c r="N54" s="262"/>
      <c r="O54" s="143"/>
      <c r="P54" s="42">
        <f>ROUND((M54*1.02),0)</f>
        <v>0</v>
      </c>
      <c r="Q54" s="262"/>
      <c r="R54" s="143"/>
      <c r="S54" s="42">
        <f>ROUND((P54*1.02),0)</f>
        <v>0</v>
      </c>
      <c r="T54" s="262"/>
      <c r="U54" s="143"/>
      <c r="V54" s="42">
        <f>ROUND((S54*1.02),0)</f>
        <v>0</v>
      </c>
      <c r="W54" s="143"/>
      <c r="X54" s="143"/>
      <c r="Y54" s="42">
        <f aca="true" t="shared" si="11" ref="Y54:Y64">+J54+M54+P54+S54+V54</f>
        <v>0</v>
      </c>
      <c r="Z54" s="5"/>
    </row>
    <row r="55" spans="1:26" ht="15.75">
      <c r="A55" s="21"/>
      <c r="B55" s="21"/>
      <c r="C55" s="13" t="s">
        <v>36</v>
      </c>
      <c r="D55" s="3"/>
      <c r="E55" s="31"/>
      <c r="F55" s="31"/>
      <c r="J55" s="42">
        <v>0</v>
      </c>
      <c r="K55" s="261"/>
      <c r="L55" s="172"/>
      <c r="M55" s="42">
        <f aca="true" t="shared" si="12" ref="M55:M60">ROUND((J55*1.02),0)</f>
        <v>0</v>
      </c>
      <c r="N55" s="262"/>
      <c r="O55" s="143"/>
      <c r="P55" s="42">
        <f aca="true" t="shared" si="13" ref="P55:P60">ROUND((M55*1.02),0)</f>
        <v>0</v>
      </c>
      <c r="Q55" s="262"/>
      <c r="R55" s="143"/>
      <c r="S55" s="42">
        <f aca="true" t="shared" si="14" ref="S55:S60">ROUND((P55*1.02),0)</f>
        <v>0</v>
      </c>
      <c r="T55" s="262"/>
      <c r="U55" s="143"/>
      <c r="V55" s="42">
        <f aca="true" t="shared" si="15" ref="V55:V60">ROUND((S55*1.02),0)</f>
        <v>0</v>
      </c>
      <c r="W55" s="143"/>
      <c r="X55" s="143"/>
      <c r="Y55" s="42">
        <f t="shared" si="11"/>
        <v>0</v>
      </c>
      <c r="Z55" s="5"/>
    </row>
    <row r="56" spans="1:26" ht="15.75">
      <c r="A56" s="21"/>
      <c r="B56" s="21"/>
      <c r="C56" s="13" t="s">
        <v>37</v>
      </c>
      <c r="D56" s="3"/>
      <c r="E56" s="31"/>
      <c r="F56" s="31"/>
      <c r="J56" s="42">
        <v>0</v>
      </c>
      <c r="K56" s="261"/>
      <c r="L56" s="172"/>
      <c r="M56" s="42">
        <f t="shared" si="12"/>
        <v>0</v>
      </c>
      <c r="N56" s="262"/>
      <c r="O56" s="143"/>
      <c r="P56" s="42">
        <f t="shared" si="13"/>
        <v>0</v>
      </c>
      <c r="Q56" s="164"/>
      <c r="R56" s="42"/>
      <c r="S56" s="42">
        <f t="shared" si="14"/>
        <v>0</v>
      </c>
      <c r="T56" s="164"/>
      <c r="U56" s="42"/>
      <c r="V56" s="42">
        <f t="shared" si="15"/>
        <v>0</v>
      </c>
      <c r="W56" s="42"/>
      <c r="X56" s="42"/>
      <c r="Y56" s="42">
        <f t="shared" si="11"/>
        <v>0</v>
      </c>
      <c r="Z56" s="5"/>
    </row>
    <row r="57" spans="1:26" ht="15.75">
      <c r="A57" s="21"/>
      <c r="B57" s="21"/>
      <c r="C57" s="13" t="s">
        <v>277</v>
      </c>
      <c r="D57" s="3"/>
      <c r="E57" s="31"/>
      <c r="F57" s="31"/>
      <c r="J57" s="42">
        <v>0</v>
      </c>
      <c r="K57" s="261"/>
      <c r="L57" s="172"/>
      <c r="M57" s="42">
        <f t="shared" si="12"/>
        <v>0</v>
      </c>
      <c r="N57" s="262"/>
      <c r="O57" s="143"/>
      <c r="P57" s="42">
        <f t="shared" si="13"/>
        <v>0</v>
      </c>
      <c r="Q57" s="262"/>
      <c r="R57" s="143"/>
      <c r="S57" s="42">
        <f t="shared" si="14"/>
        <v>0</v>
      </c>
      <c r="T57" s="262"/>
      <c r="U57" s="143"/>
      <c r="V57" s="42">
        <f t="shared" si="15"/>
        <v>0</v>
      </c>
      <c r="W57" s="143"/>
      <c r="X57" s="143"/>
      <c r="Y57" s="42">
        <f t="shared" si="11"/>
        <v>0</v>
      </c>
      <c r="Z57" s="5"/>
    </row>
    <row r="58" spans="1:26" ht="15.75">
      <c r="A58" s="21"/>
      <c r="B58" s="21"/>
      <c r="C58" s="225" t="s">
        <v>100</v>
      </c>
      <c r="D58" s="3"/>
      <c r="E58" s="31"/>
      <c r="F58" s="31"/>
      <c r="J58" s="42">
        <v>0</v>
      </c>
      <c r="K58" s="261"/>
      <c r="L58" s="172"/>
      <c r="M58" s="42">
        <f t="shared" si="12"/>
        <v>0</v>
      </c>
      <c r="N58" s="262"/>
      <c r="O58" s="143"/>
      <c r="P58" s="42">
        <f t="shared" si="13"/>
        <v>0</v>
      </c>
      <c r="Q58" s="262"/>
      <c r="R58" s="143"/>
      <c r="S58" s="42">
        <f t="shared" si="14"/>
        <v>0</v>
      </c>
      <c r="T58" s="262"/>
      <c r="U58" s="143"/>
      <c r="V58" s="42">
        <f t="shared" si="15"/>
        <v>0</v>
      </c>
      <c r="W58" s="143"/>
      <c r="X58" s="143"/>
      <c r="Y58" s="42">
        <f t="shared" si="11"/>
        <v>0</v>
      </c>
      <c r="Z58" s="5"/>
    </row>
    <row r="59" spans="1:26" ht="15.75">
      <c r="A59" s="21"/>
      <c r="B59" s="21"/>
      <c r="C59" s="13" t="s">
        <v>276</v>
      </c>
      <c r="D59" s="3"/>
      <c r="E59" s="31"/>
      <c r="F59" s="31"/>
      <c r="J59" s="42">
        <v>0</v>
      </c>
      <c r="K59" s="261"/>
      <c r="L59" s="172"/>
      <c r="M59" s="42">
        <f t="shared" si="12"/>
        <v>0</v>
      </c>
      <c r="N59" s="164"/>
      <c r="O59" s="42"/>
      <c r="P59" s="42">
        <f t="shared" si="13"/>
        <v>0</v>
      </c>
      <c r="Q59" s="164"/>
      <c r="R59" s="42"/>
      <c r="S59" s="42">
        <f t="shared" si="14"/>
        <v>0</v>
      </c>
      <c r="T59" s="164"/>
      <c r="U59" s="42"/>
      <c r="V59" s="42">
        <f t="shared" si="15"/>
        <v>0</v>
      </c>
      <c r="W59" s="42"/>
      <c r="X59" s="42"/>
      <c r="Y59" s="42">
        <f t="shared" si="11"/>
        <v>0</v>
      </c>
      <c r="Z59" s="5"/>
    </row>
    <row r="60" spans="1:26" ht="15.75">
      <c r="A60" s="21"/>
      <c r="B60" s="21"/>
      <c r="C60" s="13" t="s">
        <v>38</v>
      </c>
      <c r="D60" s="21"/>
      <c r="E60" s="21"/>
      <c r="F60" s="21"/>
      <c r="G60" s="1"/>
      <c r="H60" s="1"/>
      <c r="I60" s="1"/>
      <c r="J60" s="42">
        <v>0</v>
      </c>
      <c r="K60" s="261"/>
      <c r="L60" s="172"/>
      <c r="M60" s="42">
        <f t="shared" si="12"/>
        <v>0</v>
      </c>
      <c r="N60" s="164"/>
      <c r="O60" s="42"/>
      <c r="P60" s="42">
        <f t="shared" si="13"/>
        <v>0</v>
      </c>
      <c r="Q60" s="164"/>
      <c r="R60" s="42"/>
      <c r="S60" s="42">
        <f t="shared" si="14"/>
        <v>0</v>
      </c>
      <c r="T60" s="164"/>
      <c r="U60" s="42"/>
      <c r="V60" s="42">
        <f t="shared" si="15"/>
        <v>0</v>
      </c>
      <c r="W60" s="42"/>
      <c r="X60" s="42"/>
      <c r="Y60" s="42">
        <f t="shared" si="11"/>
        <v>0</v>
      </c>
      <c r="Z60" s="5"/>
    </row>
    <row r="61" spans="1:27" ht="15.75">
      <c r="A61" s="21"/>
      <c r="B61" s="21"/>
      <c r="C61" s="22" t="s">
        <v>39</v>
      </c>
      <c r="D61" s="10"/>
      <c r="E61" s="31"/>
      <c r="F61" s="31"/>
      <c r="J61" s="42">
        <v>0</v>
      </c>
      <c r="K61" s="261"/>
      <c r="L61" s="172"/>
      <c r="M61" s="42">
        <v>0</v>
      </c>
      <c r="N61" s="262"/>
      <c r="O61" s="143"/>
      <c r="P61" s="42">
        <v>0</v>
      </c>
      <c r="Q61" s="262"/>
      <c r="R61" s="143"/>
      <c r="S61" s="42">
        <v>0</v>
      </c>
      <c r="T61" s="262"/>
      <c r="U61" s="143"/>
      <c r="V61" s="42">
        <v>0</v>
      </c>
      <c r="W61" s="143"/>
      <c r="X61" s="143"/>
      <c r="Y61" s="42">
        <f t="shared" si="11"/>
        <v>0</v>
      </c>
      <c r="Z61" s="5"/>
      <c r="AA61" s="76"/>
    </row>
    <row r="62" spans="1:27" ht="15.75">
      <c r="A62" s="21"/>
      <c r="B62" s="21"/>
      <c r="C62" s="63" t="s">
        <v>40</v>
      </c>
      <c r="D62" s="10"/>
      <c r="E62" s="31"/>
      <c r="F62" s="31"/>
      <c r="J62" s="42">
        <v>0</v>
      </c>
      <c r="K62" s="261"/>
      <c r="L62" s="172"/>
      <c r="M62" s="42">
        <v>0</v>
      </c>
      <c r="N62" s="262"/>
      <c r="O62" s="143"/>
      <c r="P62" s="42">
        <v>0</v>
      </c>
      <c r="Q62" s="262"/>
      <c r="R62" s="143"/>
      <c r="S62" s="42">
        <v>0</v>
      </c>
      <c r="T62" s="262"/>
      <c r="U62" s="143"/>
      <c r="V62" s="42">
        <v>0</v>
      </c>
      <c r="W62" s="143"/>
      <c r="X62" s="143"/>
      <c r="Y62" s="42">
        <f t="shared" si="11"/>
        <v>0</v>
      </c>
      <c r="Z62" s="5"/>
      <c r="AA62" s="76"/>
    </row>
    <row r="63" spans="1:27" ht="15.75">
      <c r="A63" s="21"/>
      <c r="B63" s="21"/>
      <c r="C63" s="63" t="s">
        <v>93</v>
      </c>
      <c r="D63" s="10"/>
      <c r="E63" s="31"/>
      <c r="F63" s="31"/>
      <c r="J63" s="42">
        <v>0</v>
      </c>
      <c r="K63" s="261"/>
      <c r="L63" s="172"/>
      <c r="M63" s="42">
        <v>0</v>
      </c>
      <c r="N63" s="262"/>
      <c r="O63" s="143"/>
      <c r="P63" s="42">
        <v>0</v>
      </c>
      <c r="Q63" s="262"/>
      <c r="R63" s="143"/>
      <c r="S63" s="42">
        <v>0</v>
      </c>
      <c r="T63" s="262"/>
      <c r="U63" s="143"/>
      <c r="V63" s="42">
        <v>0</v>
      </c>
      <c r="W63" s="143"/>
      <c r="X63" s="143"/>
      <c r="Y63" s="42">
        <f t="shared" si="11"/>
        <v>0</v>
      </c>
      <c r="Z63" s="5"/>
      <c r="AA63" s="76"/>
    </row>
    <row r="64" spans="1:27" ht="15.75">
      <c r="A64" s="21"/>
      <c r="B64" s="21"/>
      <c r="C64" s="63" t="s">
        <v>94</v>
      </c>
      <c r="D64" s="10"/>
      <c r="E64" s="31"/>
      <c r="F64" s="31"/>
      <c r="J64" s="42">
        <v>0</v>
      </c>
      <c r="K64" s="261"/>
      <c r="L64" s="172"/>
      <c r="M64" s="42">
        <v>0</v>
      </c>
      <c r="N64" s="262"/>
      <c r="O64" s="143"/>
      <c r="P64" s="42">
        <v>0</v>
      </c>
      <c r="Q64" s="262"/>
      <c r="R64" s="143"/>
      <c r="S64" s="42">
        <v>0</v>
      </c>
      <c r="T64" s="262"/>
      <c r="U64" s="143"/>
      <c r="V64" s="42">
        <v>0</v>
      </c>
      <c r="W64" s="143"/>
      <c r="X64" s="143"/>
      <c r="Y64" s="42">
        <f t="shared" si="11"/>
        <v>0</v>
      </c>
      <c r="Z64" s="5"/>
      <c r="AA64" s="76"/>
    </row>
    <row r="65" spans="1:27" ht="15.75">
      <c r="A65" s="40" t="s">
        <v>41</v>
      </c>
      <c r="D65" s="28"/>
      <c r="E65" s="28"/>
      <c r="F65" s="28"/>
      <c r="G65" s="28"/>
      <c r="H65" s="28"/>
      <c r="I65" s="28"/>
      <c r="J65" s="51">
        <f>SUM(J54:J64)</f>
        <v>0</v>
      </c>
      <c r="K65" s="156"/>
      <c r="L65" s="175"/>
      <c r="M65" s="43">
        <f>SUM(M54:M64)</f>
        <v>0</v>
      </c>
      <c r="N65" s="156"/>
      <c r="O65" s="44"/>
      <c r="P65" s="43">
        <f>SUM(P54:P64)</f>
        <v>0</v>
      </c>
      <c r="Q65" s="156"/>
      <c r="R65" s="44"/>
      <c r="S65" s="43">
        <f>SUM(S54:S64)</f>
        <v>0</v>
      </c>
      <c r="T65" s="156"/>
      <c r="U65" s="44"/>
      <c r="V65" s="43">
        <f>SUM(V54:V64)</f>
        <v>0</v>
      </c>
      <c r="W65" s="44"/>
      <c r="X65" s="44"/>
      <c r="Y65" s="43">
        <f>SUM(Y54:Y64)</f>
        <v>0</v>
      </c>
      <c r="Z65" s="34"/>
      <c r="AA65" s="76"/>
    </row>
    <row r="66" spans="1:26" ht="7.5" customHeight="1">
      <c r="A66" s="21"/>
      <c r="B66" s="21"/>
      <c r="C66" s="26"/>
      <c r="D66" s="28"/>
      <c r="E66" s="28"/>
      <c r="F66" s="28"/>
      <c r="G66" s="26"/>
      <c r="H66" s="26"/>
      <c r="I66" s="26"/>
      <c r="J66" s="52"/>
      <c r="K66" s="152"/>
      <c r="L66" s="171"/>
      <c r="M66" s="46"/>
      <c r="N66" s="152"/>
      <c r="O66" s="46"/>
      <c r="P66" s="46"/>
      <c r="Q66" s="152"/>
      <c r="R66" s="46"/>
      <c r="S66" s="46"/>
      <c r="T66" s="152"/>
      <c r="U66" s="46"/>
      <c r="V66" s="46"/>
      <c r="W66" s="46"/>
      <c r="X66" s="46"/>
      <c r="Y66" s="46" t="s">
        <v>1</v>
      </c>
      <c r="Z66" s="6"/>
    </row>
    <row r="67" spans="1:26" ht="16.5">
      <c r="A67" s="28"/>
      <c r="B67" s="28"/>
      <c r="C67" s="28"/>
      <c r="D67" s="21"/>
      <c r="E67" s="32" t="s">
        <v>42</v>
      </c>
      <c r="F67" s="32"/>
      <c r="G67" s="39"/>
      <c r="H67" s="39"/>
      <c r="I67" s="39"/>
      <c r="J67" s="65">
        <f>ROUND(+J65+J51+J46+J41,0)</f>
        <v>0</v>
      </c>
      <c r="K67" s="157"/>
      <c r="L67" s="176"/>
      <c r="M67" s="65">
        <f>ROUND(+M65+M51+M46+M41,0)</f>
        <v>0</v>
      </c>
      <c r="N67" s="157"/>
      <c r="O67" s="65"/>
      <c r="P67" s="65">
        <f>ROUND(+P65+P51+P46+P41,0)</f>
        <v>0</v>
      </c>
      <c r="Q67" s="157"/>
      <c r="R67" s="65"/>
      <c r="S67" s="65">
        <f>ROUND(+S65+S51+S46+S41,0)</f>
        <v>0</v>
      </c>
      <c r="T67" s="157"/>
      <c r="U67" s="65"/>
      <c r="V67" s="65">
        <f>ROUND(+V65+V51+V46+V41,0)</f>
        <v>0</v>
      </c>
      <c r="W67" s="65"/>
      <c r="X67" s="65"/>
      <c r="Y67" s="42">
        <f>+J67+M67+P67+S67+V67</f>
        <v>0</v>
      </c>
      <c r="Z67" s="34"/>
    </row>
    <row r="68" spans="1:25" ht="7.5" customHeight="1">
      <c r="A68" s="28"/>
      <c r="B68" s="28"/>
      <c r="C68" s="28"/>
      <c r="D68" s="21"/>
      <c r="E68" s="32"/>
      <c r="F68" s="32"/>
      <c r="G68" s="39"/>
      <c r="H68" s="39"/>
      <c r="I68" s="39"/>
      <c r="J68" s="66"/>
      <c r="K68" s="157"/>
      <c r="L68" s="176"/>
      <c r="M68" s="65"/>
      <c r="N68" s="165"/>
      <c r="O68" s="190"/>
      <c r="P68" s="65"/>
      <c r="Q68" s="165"/>
      <c r="R68" s="190"/>
      <c r="S68" s="65"/>
      <c r="T68" s="165"/>
      <c r="U68" s="190"/>
      <c r="V68" s="190"/>
      <c r="W68" s="190"/>
      <c r="X68" s="190"/>
      <c r="Y68" s="65"/>
    </row>
    <row r="69" spans="1:27" ht="15.75">
      <c r="A69" s="28"/>
      <c r="B69" s="28"/>
      <c r="C69" s="28"/>
      <c r="D69" s="21"/>
      <c r="G69" s="39"/>
      <c r="H69" s="92" t="s">
        <v>115</v>
      </c>
      <c r="I69" s="39"/>
      <c r="J69" s="74">
        <f>(IF((J61)&gt;25000,(25000),J61)+((IF((J62)&gt;25000,(25000),J62))+((IF((J63)&gt;25000,(25000),J63))+((IF((J64)&gt;25000,(25000),J64))+SUM(J67-J46-J58-J61-J62-J63-J64)))))</f>
        <v>0</v>
      </c>
      <c r="K69" s="158"/>
      <c r="L69" s="177"/>
      <c r="M69" s="74">
        <f>IF(J61&gt;=(25000),0,((IF((J61+M61)&lt;=(25000),M61,(25000-J61)))))+IF(J62&gt;=(25000),0,((IF((J62+M62)&lt;=(25000),M62,(25000-J62)))))+IF(J63&gt;=(25000),0,((IF((J63+M63)&lt;=(25000),M63,(25000-J63)))))+IF(J64&gt;=(25000),0,((IF((J64+M64)&lt;=(25000),M64,(25000-J64)))))+SUM(M67-M46-M58-M61-M62-M63-M64)</f>
        <v>0</v>
      </c>
      <c r="N69" s="158"/>
      <c r="O69" s="191"/>
      <c r="P69" s="74">
        <f>IF(J61&gt;=(25000),0,(((IF((J61+M61)&gt;=(25000),0,((IF((J61+M61+P61)&lt;=(25000),P61,(25000-SUM(J61+M61))))))))))+IF(J62&gt;=(25000),0,(((IF((J62+M62)&gt;=(25000),0,((IF((J62+M62+P62)&lt;(25000),P62,(25000-SUM(J62+M62))))))))))+IF(J63&gt;=(25000),0,(((IF((J63+M63)&gt;=(25000),0,((IF((J63+M63+P63)&lt;(25000),P63,(25000-SUM(J63+M63))))))))))+IF(J64&gt;=(25000),0,(((IF((J64+M64)&gt;=(25000),0,((IF((J64+M64+P64)&lt;(25000),P64,(25000-SUM(J64+M64))))))))))+SUM(P67-P46-P58-P61-P62-P63-P64)</f>
        <v>0</v>
      </c>
      <c r="Q69" s="158"/>
      <c r="R69" s="191"/>
      <c r="S69" s="74">
        <f>IF(J61&gt;=(25000),0,(((IF((J61+M61)&gt;=(25000),0,((IF((J61+M61+P61)&gt;=(25000),0,(IF((J61+M61+P61+S61)&lt;=(25000),S61,(25000-SUM(J61+M61+P61))))))))))))+IF(J62&gt;=(25000),0,(((IF((J62+M62)&gt;=(25000),0,((IF((J62+M62+P62)&gt;=(25000),0,(IF((J62+M62+P62+S62)&lt;=(25000),S62,(25000-SUM(J62+M62+P62))))))))))))+IF(J63&gt;=(25000),0,(((IF((J63+M63)&gt;=(25000),0,((IF((J63+M63+P63)&gt;=(25000),0,(IF((J63+M63+P63+S63)&lt;=(25000),S63,(25000-SUM(J63+M63+P63))))))))))))+IF(J64&gt;=(25000),0,(((IF((J64+M64)&gt;=(25000),0,((IF((J64+M64+P64)&gt;=(25000),0,(IF((J64+M64+P64+S64)&lt;=(25000),S64,(25000-SUM(J64+M64+P64))))))))))))+SUM(S67-S46-S58-S61-S62-S63-S64)</f>
        <v>0</v>
      </c>
      <c r="T69" s="158"/>
      <c r="U69" s="191"/>
      <c r="V69" s="74">
        <f>IF(M61&gt;=(25000),0,(((IF((J61+M61+P61)&gt;=(25000),0,((IF((J61+M61+P61+S61)&gt;=(25000),0,(IF((J61+M61+P61+S61+V61)&lt;=(25000),V61,(25000-SUM(J61+M61+P61+S61))))))))))))+IF(M62&gt;=(25000),0,(((IF((J62+M62+P62)&gt;=(25000),0,((IF((J62+M62+P62+S62)&gt;=(25000),0,(IF((J62+M62+P62+S62+V62)&lt;=(25000),V62,(25000-SUM(J62+M62+P62+S62))))))))))))+IF(M63&gt;=(25000),0,(((IF((J63+M63+P63)&gt;=(25000),0,((IF((J63+M63+P63+S63)&gt;=(25000),0,(IF((J63+M63+P63+S63+V63)&lt;=(25000),V63,(25000-SUM(J63+M63+P63+S63))))))))))))+IF(M64&gt;=(25000),0,(((IF((J63+M64+P64)&gt;=(25000),0,((IF((J64+M64+P64+S64)&gt;=(25000),0,(IF((J64+M64+P64+S64+V64)&lt;=(25000),V64,(25000-SUM(J64+M64+P64+S64))))))))))))+SUM(V67-V46-V58-V61-V62-V63-V64)</f>
        <v>0</v>
      </c>
      <c r="W69" s="191"/>
      <c r="X69" s="191"/>
      <c r="Y69" s="42">
        <f>+J69+M69+P69+S69+V69</f>
        <v>0</v>
      </c>
      <c r="AA69" s="76"/>
    </row>
    <row r="70" spans="1:28" ht="15.75">
      <c r="A70" s="33" t="s">
        <v>114</v>
      </c>
      <c r="B70" s="1"/>
      <c r="C70" s="1"/>
      <c r="J70" s="42"/>
      <c r="K70" s="159"/>
      <c r="L70" s="178"/>
      <c r="M70" s="50"/>
      <c r="N70" s="159"/>
      <c r="O70" s="56"/>
      <c r="P70" s="50"/>
      <c r="Q70" s="159"/>
      <c r="R70" s="56"/>
      <c r="S70" s="50"/>
      <c r="T70" s="159"/>
      <c r="U70" s="56"/>
      <c r="V70" s="56"/>
      <c r="W70" s="56"/>
      <c r="X70" s="56"/>
      <c r="Y70" s="50"/>
      <c r="Z70" s="5"/>
      <c r="AB70" s="75"/>
    </row>
    <row r="71" spans="1:26" ht="15.75">
      <c r="A71" s="13" t="s">
        <v>117</v>
      </c>
      <c r="B71" s="1"/>
      <c r="D71" s="7">
        <f>IF(AND(($E$82)="R",($E$84)="C"),('RATES-Non Fed'!E48),IF(AND(($E$82)="R",($E$84)="O"),('RATES-Non Fed'!E53),IF(AND(($E$82)="I",($E$84)="C"),('RATES-Non Fed'!E49),IF(AND(($E$82)="I",($E$84)="O"),('RATES-Non Fed'!E54),IF(AND(($E$82)="P",($E$84)="C"),('RATES-Non Fed'!E50),IF(AND(($E$82)="P",($E$84)="O"),('RATES-Non Fed'!E55),($E$83)))))))</f>
        <v>0.605</v>
      </c>
      <c r="E71" s="7">
        <f>IF(AND(($E$82)="R",($E$84)="C"),('RATES-Non Fed'!G48),IF(AND(($E$82)="R",($E$84)="O"),('RATES-Non Fed'!G53),IF(AND(($E$82)="I",($E$84)="C"),('RATES-Non Fed'!G49),IF(AND(($E$82)="I",($E$84)="O"),('RATES-Non Fed'!G54),IF(AND(($E$82)="P",($E$84)="C"),('RATES-Non Fed'!G50),IF(AND(($E$82)="P",($E$84)="O"),('RATES-Non Fed'!G55),($E$83)))))))</f>
        <v>0.62</v>
      </c>
      <c r="F71" s="7">
        <f>IF(AND(($E$82)="R",($E$84)="C"),('RATES-Non Fed'!I48),IF(AND(($E$82)="R",($E$84)="O"),('RATES-Non Fed'!I53),IF(AND(($E$82)="I",($E$84)="C"),('RATES-Non Fed'!I49),IF(AND(($E$82)="I",($E$84)="O"),('RATES-Non Fed'!I54),IF(AND(($E$82)="P",($E$84)="C"),('RATES-Non Fed'!I50),IF(AND(($E$82)="P",($E$84)="O"),('RATES-Non Fed'!I55),($E$83)))))))</f>
        <v>0.62</v>
      </c>
      <c r="G71" s="7">
        <f>IF(AND(($E$82)="R",($E$84)="C"),('RATES-Non Fed'!K48),IF(AND(($E$82)="R",($E$84)="O"),('RATES-Non Fed'!K53),IF(AND(($E$82)="I",($E$84)="C"),('RATES-Non Fed'!K49),IF(AND(($E$82)="I",($E$84)="O"),('RATES-Non Fed'!K54),IF(AND(($E$82)="P",($E$84)="C"),('RATES-Non Fed'!K50),IF(AND(($E$82)="P",($E$84)="O"),('RATES-Non Fed'!K55),($E$83)))))))</f>
        <v>0.62</v>
      </c>
      <c r="H71" s="7">
        <f>IF(AND(($E$82)="R",($E$84)="C"),('RATES-Non Fed'!I48),IF(AND(($E$82)="R",($E$84)="O"),('RATES-Non Fed'!I53),IF(AND(($E$82)="I",($E$84)="C"),('RATES-Non Fed'!I49),IF(AND(($E$82)="I",($E$84)="O"),('RATES-Non Fed'!I54),IF(AND(($E$82)="P",($E$84)="C"),('RATES-Non Fed'!I50),IF(AND(($E$82)="P",($E$84)="O"),('RATES-Non Fed'!I55),($E$83)))))))</f>
        <v>0.62</v>
      </c>
      <c r="J71" s="50">
        <f>ROUND(+D71*(J67-J46-J61-J62-J63-J64-J58),0)</f>
        <v>0</v>
      </c>
      <c r="K71" s="261"/>
      <c r="L71" s="172"/>
      <c r="M71" s="50">
        <f>ROUND(+E71*(M67-M46-M61-M62-M63-M64-M58),0)</f>
        <v>0</v>
      </c>
      <c r="N71" s="261"/>
      <c r="O71" s="50"/>
      <c r="P71" s="50">
        <f>ROUND(+F71*(P67-P46-P61-P62-P63-P64-P58),0)</f>
        <v>0</v>
      </c>
      <c r="Q71" s="261"/>
      <c r="R71" s="50"/>
      <c r="S71" s="50">
        <f>ROUND(+G71*(S67-S46-S61-S62-S63-S64-S58),0)</f>
        <v>0</v>
      </c>
      <c r="T71" s="261"/>
      <c r="U71" s="50"/>
      <c r="V71" s="50">
        <f>ROUND(+H71*(V67-V46-V61-V62-V63-V64-V58),0)</f>
        <v>0</v>
      </c>
      <c r="W71" s="50"/>
      <c r="X71" s="50"/>
      <c r="Y71" s="42">
        <f>+J71+M71+P71+S71+V71</f>
        <v>0</v>
      </c>
      <c r="Z71" s="5"/>
    </row>
    <row r="72" spans="1:26" ht="15.75">
      <c r="A72" s="13" t="s">
        <v>43</v>
      </c>
      <c r="D72" s="7">
        <f aca="true" t="shared" si="16" ref="D72:H74">+D71</f>
        <v>0.605</v>
      </c>
      <c r="E72" s="7">
        <f t="shared" si="16"/>
        <v>0.62</v>
      </c>
      <c r="F72" s="7">
        <f t="shared" si="16"/>
        <v>0.62</v>
      </c>
      <c r="G72" s="7">
        <f t="shared" si="16"/>
        <v>0.62</v>
      </c>
      <c r="H72" s="7">
        <f t="shared" si="16"/>
        <v>0.62</v>
      </c>
      <c r="J72" s="50">
        <f>(IF((J61)&gt;25000,(25000),J61)*D72)</f>
        <v>0</v>
      </c>
      <c r="K72" s="50"/>
      <c r="L72" s="50"/>
      <c r="M72" s="50">
        <f>IF(J61&gt;=(25000),0,((IF((J61+M61)&lt;=(25000),M61,(25000-J61))))*E72)</f>
        <v>0</v>
      </c>
      <c r="N72" s="261"/>
      <c r="O72" s="50"/>
      <c r="P72" s="50">
        <f>IF(J61&gt;=(25000),0,(((IF((J61+M61)&gt;=(25000),0,((IF((J61+M61+P61)&lt;=(25000),P61,(25000-SUM(J61+M61)))))))))*F72)</f>
        <v>0</v>
      </c>
      <c r="Q72" s="261"/>
      <c r="R72" s="50"/>
      <c r="S72" s="50">
        <f>IF(J61&gt;=(25000),0,(((IF((J61+M61)&gt;=(25000),0,((IF((J61+M61+P61)&gt;=(25000),0,(IF((J61+M61+P61+S61)&lt;=(25000),S61,(25000-SUM(J61+M61+P61)))))))))))*G72)</f>
        <v>0</v>
      </c>
      <c r="T72" s="261"/>
      <c r="U72" s="50"/>
      <c r="V72" s="50">
        <f>IF(M61&gt;=(25000),0,(((IF((M61+P61)&gt;=(25000),0,((IF((M61+P61+S61)&gt;=(25000),0,(IF((M61+P61+S61+V61)&lt;=(25000),V61,(25000-SUM(M61+P61+S61)))))))))))*H72)</f>
        <v>0</v>
      </c>
      <c r="W72" s="50"/>
      <c r="X72" s="50"/>
      <c r="Y72" s="42">
        <f>+J72+M72+P72+S72+V72</f>
        <v>0</v>
      </c>
      <c r="Z72" s="5"/>
    </row>
    <row r="73" spans="1:26" ht="15.75">
      <c r="A73" s="13" t="s">
        <v>44</v>
      </c>
      <c r="D73" s="7">
        <f t="shared" si="16"/>
        <v>0.605</v>
      </c>
      <c r="E73" s="7">
        <f t="shared" si="16"/>
        <v>0.62</v>
      </c>
      <c r="F73" s="7">
        <f t="shared" si="16"/>
        <v>0.62</v>
      </c>
      <c r="G73" s="7">
        <f t="shared" si="16"/>
        <v>0.62</v>
      </c>
      <c r="H73" s="7">
        <f t="shared" si="16"/>
        <v>0.62</v>
      </c>
      <c r="J73" s="50">
        <f>(IF((J62)&gt;25000,(25000),J62)*D73)</f>
        <v>0</v>
      </c>
      <c r="K73" s="261"/>
      <c r="L73" s="172"/>
      <c r="M73" s="50">
        <f>IF(J62&gt;=(25000),0,((IF((J62+M62)&lt;=(25000),M62,(25000-J62))))*E73)</f>
        <v>0</v>
      </c>
      <c r="N73" s="261"/>
      <c r="O73" s="50"/>
      <c r="P73" s="50">
        <f>IF(J62&gt;=(25000),0,(((IF((J62+M62)&gt;=(25000),0,((IF((J62+M62+P62)&lt;=(25000),P62,(25000-SUM(J62+M62)))))))))*F73)</f>
        <v>0</v>
      </c>
      <c r="Q73" s="261"/>
      <c r="R73" s="50"/>
      <c r="S73" s="50">
        <f>IF(J62&gt;=(25000),0,(((IF((J62+M62)&gt;=(25000),0,((IF((J62+M62+P62)&gt;=(25000),0,(IF((J62+M62+P62+S62)&lt;=(25000),S62,(25000-SUM(J62+M62+P62)))))))))))*G73)</f>
        <v>0</v>
      </c>
      <c r="T73" s="261"/>
      <c r="U73" s="50"/>
      <c r="V73" s="50">
        <f>IF(M62&gt;=(25000),0,(((IF((M62+P62)&gt;=(25000),0,((IF((M62+P62+S62)&gt;=(25000),0,(IF((M62+P62+S62+V62)&lt;=(25000),V62,(25000-SUM(M62+P62+S62)))))))))))*H73)</f>
        <v>0</v>
      </c>
      <c r="W73" s="50"/>
      <c r="X73" s="50"/>
      <c r="Y73" s="42">
        <f>+J73+M73+P73+S73+V73</f>
        <v>0</v>
      </c>
      <c r="Z73" s="5"/>
    </row>
    <row r="74" spans="1:26" ht="15.75">
      <c r="A74" s="13" t="s">
        <v>91</v>
      </c>
      <c r="D74" s="7">
        <f t="shared" si="16"/>
        <v>0.605</v>
      </c>
      <c r="E74" s="7">
        <f t="shared" si="16"/>
        <v>0.62</v>
      </c>
      <c r="F74" s="7">
        <f t="shared" si="16"/>
        <v>0.62</v>
      </c>
      <c r="G74" s="7">
        <f t="shared" si="16"/>
        <v>0.62</v>
      </c>
      <c r="H74" s="7">
        <f t="shared" si="16"/>
        <v>0.62</v>
      </c>
      <c r="J74" s="50">
        <f>(IF((J63)&gt;25000,(25000),J63)*D74)</f>
        <v>0</v>
      </c>
      <c r="K74" s="261"/>
      <c r="L74" s="172"/>
      <c r="M74" s="50">
        <f>IF(J63&gt;=(25000),0,((IF((J63+M63)&lt;=(25000),M63,(25000-J63))))*E74)</f>
        <v>0</v>
      </c>
      <c r="N74" s="261"/>
      <c r="O74" s="50"/>
      <c r="P74" s="50">
        <f>IF(J63&gt;=(25000),0,(((IF((J63+M63)&gt;=(25000),0,((IF((J63+M63+P63)&lt;=(25000),P63,(25000-SUM(J63+M63)))))))))*F74)</f>
        <v>0</v>
      </c>
      <c r="Q74" s="261"/>
      <c r="R74" s="50"/>
      <c r="S74" s="50">
        <f>IF(J63&gt;=(25000),0,(((IF((J63+M63)&gt;=(25000),0,((IF((J63+M63+P63)&gt;=(25000),0,(IF((J63+M63+P63+S63)&lt;=(25000),S63,(25000-SUM(J63+M63+P63)))))))))))*G74)</f>
        <v>0</v>
      </c>
      <c r="T74" s="261"/>
      <c r="U74" s="50"/>
      <c r="V74" s="50">
        <f>IF(M63&gt;=(25000),0,(((IF((M63+P63)&gt;=(25000),0,((IF((M63+P63+S63)&gt;=(25000),0,(IF((M63+P63+S63+V63)&lt;=(25000),V63,(25000-SUM(M63+P63+S63)))))))))))*H74)</f>
        <v>0</v>
      </c>
      <c r="W74" s="50"/>
      <c r="X74" s="50"/>
      <c r="Y74" s="42">
        <f>+J74+M74+P74+S74+V74</f>
        <v>0</v>
      </c>
      <c r="Z74" s="5"/>
    </row>
    <row r="75" spans="1:26" ht="15.75">
      <c r="A75" s="13" t="s">
        <v>92</v>
      </c>
      <c r="B75" s="1"/>
      <c r="C75" s="1"/>
      <c r="D75" s="7">
        <f>+D72</f>
        <v>0.605</v>
      </c>
      <c r="E75" s="7">
        <f>+E72</f>
        <v>0.62</v>
      </c>
      <c r="F75" s="7">
        <f>+F72</f>
        <v>0.62</v>
      </c>
      <c r="G75" s="7">
        <f>+G72</f>
        <v>0.62</v>
      </c>
      <c r="H75" s="7">
        <f>+H72</f>
        <v>0.62</v>
      </c>
      <c r="J75" s="50">
        <f>(IF((J64)&gt;25000,(25000),J64)*D75)</f>
        <v>0</v>
      </c>
      <c r="K75" s="261"/>
      <c r="L75" s="172"/>
      <c r="M75" s="50">
        <f>IF(J64&gt;=(25000),0,((IF((J64+M64)&lt;=(25000),M64,(25000-J64))))*E75)</f>
        <v>0</v>
      </c>
      <c r="N75" s="261"/>
      <c r="O75" s="50"/>
      <c r="P75" s="50">
        <f>IF(J64&gt;=(25000),0,(((IF((J64+M64)&gt;=(25000),0,((IF((J64+M64+P64)&lt;=(25000),P64,(25000-SUM(J64+M64)))))))))*F75)</f>
        <v>0</v>
      </c>
      <c r="Q75" s="261"/>
      <c r="R75" s="50"/>
      <c r="S75" s="50">
        <f>IF(J64&gt;=(25000),0,(((IF((J64+M64)&gt;=(25000),0,((IF((J64+M64+P64)&gt;=(25000),0,(IF((J64+M64+P64+S64)&lt;=(25000),S64,(25000-SUM(J64+M64+P64)))))))))))*G75)</f>
        <v>0</v>
      </c>
      <c r="T75" s="261"/>
      <c r="U75" s="50"/>
      <c r="V75" s="50">
        <f>IF(M64&gt;=(25000),0,(((IF((M64+P64)&gt;=(25000),0,((IF((M64+P64+S64)&gt;=(25000),0,(IF((M64+P64+S64+V64)&lt;=(25000),V64,(25000-SUM(M64+P64+S64)))))))))))*H75)</f>
        <v>0</v>
      </c>
      <c r="W75" s="50"/>
      <c r="X75" s="50"/>
      <c r="Y75" s="42">
        <f>+J75+M75+P75+S75+V75</f>
        <v>0</v>
      </c>
      <c r="Z75" s="5"/>
    </row>
    <row r="76" spans="1:26" ht="15.75">
      <c r="A76" s="40" t="s">
        <v>116</v>
      </c>
      <c r="B76" s="1"/>
      <c r="C76" s="24"/>
      <c r="D76" s="35"/>
      <c r="E76" s="7"/>
      <c r="F76" s="7"/>
      <c r="G76" s="7"/>
      <c r="H76" s="7"/>
      <c r="I76" s="7"/>
      <c r="J76" s="53">
        <f>SUM(J71:J75)</f>
        <v>0</v>
      </c>
      <c r="K76" s="156"/>
      <c r="L76" s="175"/>
      <c r="M76" s="53">
        <f>SUM(M71:M75)</f>
        <v>0</v>
      </c>
      <c r="N76" s="156"/>
      <c r="O76" s="44"/>
      <c r="P76" s="53">
        <f>SUM(P71:P75)</f>
        <v>0</v>
      </c>
      <c r="Q76" s="156"/>
      <c r="R76" s="44"/>
      <c r="S76" s="53">
        <f>SUM(S71:S75)</f>
        <v>0</v>
      </c>
      <c r="T76" s="156"/>
      <c r="U76" s="44"/>
      <c r="V76" s="53">
        <f>SUM(V71:V75)</f>
        <v>0</v>
      </c>
      <c r="W76" s="44"/>
      <c r="X76" s="44"/>
      <c r="Y76" s="53">
        <f>SUM(Y71:Y75)</f>
        <v>0</v>
      </c>
      <c r="Z76" s="5"/>
    </row>
    <row r="77" spans="1:26" ht="6.75" customHeight="1">
      <c r="A77" s="40"/>
      <c r="B77" s="1"/>
      <c r="C77" s="24"/>
      <c r="D77" s="35"/>
      <c r="E77" s="7"/>
      <c r="F77" s="7"/>
      <c r="G77" s="7"/>
      <c r="H77" s="7"/>
      <c r="I77" s="7"/>
      <c r="J77" s="61"/>
      <c r="K77" s="156"/>
      <c r="L77" s="175"/>
      <c r="M77" s="62"/>
      <c r="N77" s="156"/>
      <c r="O77" s="44"/>
      <c r="P77" s="62"/>
      <c r="Q77" s="156"/>
      <c r="R77" s="44"/>
      <c r="S77" s="62"/>
      <c r="T77" s="156"/>
      <c r="U77" s="44"/>
      <c r="V77" s="44"/>
      <c r="W77" s="44"/>
      <c r="X77" s="44"/>
      <c r="Y77" s="62"/>
      <c r="Z77" s="5"/>
    </row>
    <row r="78" spans="1:26" ht="19.5" thickBot="1">
      <c r="A78" s="40"/>
      <c r="B78" s="1"/>
      <c r="C78" s="60" t="s">
        <v>45</v>
      </c>
      <c r="D78" s="35"/>
      <c r="E78" s="7"/>
      <c r="F78" s="7"/>
      <c r="G78" s="7"/>
      <c r="H78" s="7"/>
      <c r="I78" s="7"/>
      <c r="J78" s="72">
        <f>J76+J67</f>
        <v>0</v>
      </c>
      <c r="K78" s="157"/>
      <c r="L78" s="176"/>
      <c r="M78" s="72">
        <f>M76+M67</f>
        <v>0</v>
      </c>
      <c r="N78" s="157"/>
      <c r="O78" s="65"/>
      <c r="P78" s="72">
        <f>P76+P67</f>
        <v>0</v>
      </c>
      <c r="Q78" s="157"/>
      <c r="R78" s="65"/>
      <c r="S78" s="72">
        <f>S76+S67</f>
        <v>0</v>
      </c>
      <c r="T78" s="157"/>
      <c r="U78" s="65"/>
      <c r="V78" s="72">
        <f>V76+V67</f>
        <v>0</v>
      </c>
      <c r="W78" s="65"/>
      <c r="X78" s="65"/>
      <c r="Y78" s="72">
        <f>+J78+M78+P78+S78+V78</f>
        <v>0</v>
      </c>
      <c r="Z78" s="5"/>
    </row>
    <row r="79" spans="1:26" ht="8.25" customHeight="1" thickTop="1">
      <c r="A79" s="28"/>
      <c r="B79" s="1"/>
      <c r="C79" s="35"/>
      <c r="D79" s="7"/>
      <c r="E79" s="7"/>
      <c r="F79" s="7"/>
      <c r="G79" s="7"/>
      <c r="H79" s="7"/>
      <c r="I79" s="7"/>
      <c r="J79" s="50"/>
      <c r="K79" s="261"/>
      <c r="L79" s="172"/>
      <c r="M79" s="50"/>
      <c r="N79" s="261"/>
      <c r="O79" s="50"/>
      <c r="P79" s="50"/>
      <c r="Q79" s="261"/>
      <c r="R79" s="50"/>
      <c r="S79" s="50"/>
      <c r="T79" s="261"/>
      <c r="U79" s="50"/>
      <c r="V79" s="50"/>
      <c r="W79" s="50"/>
      <c r="X79" s="50"/>
      <c r="Y79" s="50" t="s">
        <v>1</v>
      </c>
      <c r="Z79" s="5"/>
    </row>
    <row r="80" spans="1:26" ht="9" customHeight="1">
      <c r="A80" s="1"/>
      <c r="B80" s="1"/>
      <c r="C80" s="1"/>
      <c r="D80" s="1"/>
      <c r="E80" s="1"/>
      <c r="F80" s="1"/>
      <c r="G80" s="1"/>
      <c r="H80" s="1"/>
      <c r="I80" s="1"/>
      <c r="J80" s="49"/>
      <c r="K80" s="160"/>
      <c r="L80" s="179"/>
      <c r="M80" s="58"/>
      <c r="N80" s="160"/>
      <c r="O80" s="57"/>
      <c r="P80" s="58"/>
      <c r="Q80" s="160"/>
      <c r="R80" s="57"/>
      <c r="S80" s="58"/>
      <c r="T80" s="160"/>
      <c r="U80" s="57"/>
      <c r="V80" s="57"/>
      <c r="W80" s="57"/>
      <c r="X80" s="57"/>
      <c r="Y80" s="58"/>
      <c r="Z80" s="1"/>
    </row>
    <row r="81" ht="15.75">
      <c r="C81" s="36" t="s">
        <v>118</v>
      </c>
    </row>
    <row r="82" spans="3:7" ht="15.75">
      <c r="C82" s="14" t="s">
        <v>46</v>
      </c>
      <c r="E82" s="15" t="s">
        <v>47</v>
      </c>
      <c r="G82" s="14" t="s">
        <v>48</v>
      </c>
    </row>
    <row r="83" spans="3:6" ht="15.75">
      <c r="C83" s="14" t="s">
        <v>175</v>
      </c>
      <c r="E83" s="9">
        <v>0.1</v>
      </c>
      <c r="F83" s="9"/>
    </row>
    <row r="84" spans="3:7" ht="15.75">
      <c r="C84" s="14" t="s">
        <v>49</v>
      </c>
      <c r="E84" s="167" t="s">
        <v>50</v>
      </c>
      <c r="G84" s="14" t="s">
        <v>51</v>
      </c>
    </row>
    <row r="86" spans="4:21" ht="15.75">
      <c r="D86" s="214" t="s">
        <v>197</v>
      </c>
      <c r="H86" s="212">
        <f>+'RATES-Non Fed'!E31</f>
        <v>0.605</v>
      </c>
      <c r="J86" s="211">
        <f>J76/12*'RATES-Non Fed'!$C$48</f>
        <v>0</v>
      </c>
      <c r="L86" s="212">
        <f>+'RATES-Non Fed'!G31</f>
        <v>0.62</v>
      </c>
      <c r="M86" s="211">
        <f>M76/12*'RATES-Non Fed'!$C$48</f>
        <v>0</v>
      </c>
      <c r="O86" s="213">
        <f>+'RATES-Non Fed'!I31</f>
        <v>0.62</v>
      </c>
      <c r="P86" s="211">
        <f>P76/12*'RATES-Non Fed'!$C$48</f>
        <v>0</v>
      </c>
      <c r="R86" s="213">
        <f>+'RATES-Non Fed'!K31</f>
        <v>0.62</v>
      </c>
      <c r="S86" s="211">
        <f>S76/12*'RATES-Non Fed'!$C$48</f>
        <v>0</v>
      </c>
      <c r="T86" s="212">
        <f>+'RATES-Non Fed'!M31</f>
        <v>0.62</v>
      </c>
      <c r="U86" s="211">
        <f>U76/12*'RATES-Non Fed'!$C$48</f>
        <v>0</v>
      </c>
    </row>
    <row r="87" spans="4:21" ht="15.75" customHeight="1">
      <c r="D87" s="314" t="s">
        <v>198</v>
      </c>
      <c r="E87" s="314"/>
      <c r="F87" s="314"/>
      <c r="G87" s="314"/>
      <c r="H87" s="212">
        <f>+'RATES-Non Fed'!G31</f>
        <v>0.62</v>
      </c>
      <c r="J87" s="211">
        <f>J76/12*'RATES-Non Fed'!$D$48</f>
        <v>0</v>
      </c>
      <c r="L87" s="212">
        <f>+'RATES-Non Fed'!I31</f>
        <v>0.62</v>
      </c>
      <c r="M87" s="211">
        <f>M76/12*'RATES-Non Fed'!$D$48</f>
        <v>0</v>
      </c>
      <c r="O87" s="213">
        <f>+'RATES-Non Fed'!K31</f>
        <v>0.62</v>
      </c>
      <c r="P87" s="211">
        <f>P76/12*'RATES-Non Fed'!$D$48</f>
        <v>0</v>
      </c>
      <c r="R87" s="213">
        <f>+'RATES-Non Fed'!M31</f>
        <v>0.62</v>
      </c>
      <c r="S87" s="211">
        <f>S76/12*'RATES-Non Fed'!$D$48</f>
        <v>0</v>
      </c>
      <c r="T87" s="212">
        <f>+'RATES-Non Fed'!O31</f>
        <v>0.62</v>
      </c>
      <c r="U87" s="211">
        <f>U76/12*'RATES-Non Fed'!$D$48</f>
        <v>0</v>
      </c>
    </row>
    <row r="88" spans="4:26" ht="18.75">
      <c r="D88" s="314"/>
      <c r="E88" s="314"/>
      <c r="F88" s="314"/>
      <c r="G88" s="314"/>
      <c r="J88" s="211">
        <f>SUM(J86:J87)</f>
        <v>0</v>
      </c>
      <c r="M88" s="211">
        <f>SUM(M86:M87)</f>
        <v>0</v>
      </c>
      <c r="P88" s="211">
        <f>SUM(P86:P87)</f>
        <v>0</v>
      </c>
      <c r="S88" s="211">
        <f>SUM(S86:S87)</f>
        <v>0</v>
      </c>
      <c r="T88" s="211"/>
      <c r="U88" s="211">
        <f>SUM(U86:U87)</f>
        <v>0</v>
      </c>
      <c r="V88" s="193"/>
      <c r="W88" s="193"/>
      <c r="X88" s="193"/>
      <c r="Y88" s="193"/>
      <c r="Z88" s="193"/>
    </row>
  </sheetData>
  <sheetProtection/>
  <mergeCells count="7">
    <mergeCell ref="V8:X8"/>
    <mergeCell ref="K4:U5"/>
    <mergeCell ref="D87:G88"/>
    <mergeCell ref="J8:L8"/>
    <mergeCell ref="M8:O8"/>
    <mergeCell ref="P8:R8"/>
    <mergeCell ref="S8:U8"/>
  </mergeCells>
  <dataValidations count="1">
    <dataValidation type="list" allowBlank="1" showInputMessage="1" showErrorMessage="1" sqref="D11 D17:D18 D13 D15 D21:D24">
      <formula1>APPTS</formula1>
    </dataValidation>
  </dataValidations>
  <hyperlinks>
    <hyperlink ref="C58" r:id="rId1" display="UC Tuition rates (Not Subject to Indirect)"/>
  </hyperlinks>
  <printOptions horizontalCentered="1"/>
  <pageMargins left="0.25" right="0.25" top="0.75" bottom="0.75" header="0.3" footer="0.3"/>
  <pageSetup fitToHeight="1" fitToWidth="1" horizontalDpi="300" verticalDpi="300" orientation="landscape" scale="37" r:id="rId4"/>
  <legacyDrawing r:id="rId3"/>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V65"/>
  <sheetViews>
    <sheetView showGridLines="0" tabSelected="1" zoomScale="70" zoomScaleNormal="70" workbookViewId="0" topLeftCell="A37">
      <selection activeCell="N65" sqref="N65"/>
    </sheetView>
  </sheetViews>
  <sheetFormatPr defaultColWidth="9.625" defaultRowHeight="15.75"/>
  <cols>
    <col min="1" max="1" width="2.625" style="78" customWidth="1"/>
    <col min="2" max="2" width="35.375" style="78" customWidth="1"/>
    <col min="3" max="3" width="13.75390625" style="78" customWidth="1"/>
    <col min="4" max="4" width="4.875" style="78" customWidth="1"/>
    <col min="5" max="5" width="9.625" style="78" customWidth="1"/>
    <col min="6" max="6" width="2.625" style="78" customWidth="1"/>
    <col min="7" max="7" width="9.625" style="78" customWidth="1"/>
    <col min="8" max="8" width="2.625" style="78" customWidth="1"/>
    <col min="9" max="9" width="9.625" style="78" customWidth="1"/>
    <col min="10" max="10" width="2.625" style="78" customWidth="1"/>
    <col min="11" max="11" width="9.625" style="78" customWidth="1"/>
    <col min="12" max="12" width="2.625" style="78" customWidth="1"/>
    <col min="13" max="13" width="9.625" style="78" customWidth="1"/>
    <col min="14" max="14" width="2.625" style="78" customWidth="1"/>
    <col min="15" max="15" width="10.50390625" style="78" customWidth="1"/>
    <col min="16" max="16" width="2.625" style="78" customWidth="1"/>
    <col min="17" max="18" width="9.625" style="78" customWidth="1"/>
    <col min="19" max="21" width="9.625" style="78" hidden="1" customWidth="1"/>
    <col min="22" max="22" width="3.25390625" style="78" hidden="1" customWidth="1"/>
    <col min="23" max="24" width="9.625" style="78" hidden="1" customWidth="1"/>
    <col min="25" max="25" width="0.6171875" style="78" hidden="1" customWidth="1"/>
    <col min="26" max="26" width="8.50390625" style="78" hidden="1" customWidth="1"/>
    <col min="27" max="27" width="1.25" style="78" hidden="1" customWidth="1"/>
    <col min="28" max="28" width="9.625" style="78" hidden="1" customWidth="1"/>
    <col min="29" max="29" width="1.625" style="78" hidden="1" customWidth="1"/>
    <col min="30" max="30" width="9.625" style="78" hidden="1" customWidth="1"/>
    <col min="31" max="31" width="1.625" style="78" hidden="1" customWidth="1"/>
    <col min="32" max="32" width="9.625" style="78" hidden="1" customWidth="1"/>
    <col min="33" max="33" width="2.00390625" style="78" hidden="1" customWidth="1"/>
    <col min="34" max="34" width="9.625" style="78" hidden="1" customWidth="1"/>
    <col min="35" max="35" width="1.75390625" style="78" hidden="1" customWidth="1"/>
    <col min="36" max="36" width="9.625" style="78" hidden="1" customWidth="1"/>
    <col min="37" max="37" width="0" style="78" hidden="1" customWidth="1"/>
    <col min="38" max="16384" width="9.625" style="78" customWidth="1"/>
  </cols>
  <sheetData>
    <row r="1" spans="2:19" ht="15.75">
      <c r="B1" s="205"/>
      <c r="S1" s="205"/>
    </row>
    <row r="2" spans="2:19" ht="15.75">
      <c r="B2" s="215" t="s">
        <v>60</v>
      </c>
      <c r="C2" s="88"/>
      <c r="D2" s="88"/>
      <c r="E2" s="216">
        <v>44013</v>
      </c>
      <c r="F2" s="276"/>
      <c r="G2" s="216">
        <v>46203</v>
      </c>
      <c r="S2" s="227"/>
    </row>
    <row r="3" spans="2:7" ht="15.75">
      <c r="B3" s="215"/>
      <c r="C3" s="88"/>
      <c r="D3" s="88"/>
      <c r="E3" s="79"/>
      <c r="F3" s="80"/>
      <c r="G3" s="79"/>
    </row>
    <row r="4" spans="2:25" ht="18.75">
      <c r="B4" s="215"/>
      <c r="E4" s="283"/>
      <c r="S4" s="86"/>
      <c r="U4" s="217"/>
      <c r="W4" s="89"/>
      <c r="X4" s="205"/>
      <c r="Y4" s="205"/>
    </row>
    <row r="5" spans="1:25" ht="15.75">
      <c r="A5" s="218"/>
      <c r="E5" s="258" t="s">
        <v>202</v>
      </c>
      <c r="G5" s="258" t="s">
        <v>207</v>
      </c>
      <c r="I5" s="227" t="s">
        <v>210</v>
      </c>
      <c r="K5" s="227" t="s">
        <v>213</v>
      </c>
      <c r="M5" s="258" t="s">
        <v>224</v>
      </c>
      <c r="O5" s="258" t="s">
        <v>229</v>
      </c>
      <c r="Q5" s="258" t="s">
        <v>234</v>
      </c>
      <c r="S5" s="86"/>
      <c r="U5" s="228"/>
      <c r="W5" s="88"/>
      <c r="X5" s="227"/>
      <c r="Y5" s="88"/>
    </row>
    <row r="6" spans="1:256" ht="15.75">
      <c r="A6" s="219"/>
      <c r="B6" s="208" t="s">
        <v>61</v>
      </c>
      <c r="C6" s="219"/>
      <c r="D6" s="219"/>
      <c r="E6" s="259" t="s">
        <v>238</v>
      </c>
      <c r="G6" s="259" t="s">
        <v>211</v>
      </c>
      <c r="I6" s="259" t="s">
        <v>212</v>
      </c>
      <c r="K6" s="280" t="s">
        <v>216</v>
      </c>
      <c r="M6" s="280" t="s">
        <v>225</v>
      </c>
      <c r="N6" s="220"/>
      <c r="O6" s="280" t="s">
        <v>230</v>
      </c>
      <c r="P6" s="220"/>
      <c r="Q6" s="280" t="s">
        <v>235</v>
      </c>
      <c r="R6" s="219"/>
      <c r="S6" s="86"/>
      <c r="U6" s="217"/>
      <c r="V6" s="219"/>
      <c r="W6" s="88"/>
      <c r="X6" s="226"/>
      <c r="Y6" s="88"/>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219"/>
      <c r="BW6" s="219"/>
      <c r="BX6" s="219"/>
      <c r="BY6" s="219"/>
      <c r="BZ6" s="219"/>
      <c r="CA6" s="219"/>
      <c r="CB6" s="219"/>
      <c r="CC6" s="219"/>
      <c r="CD6" s="219"/>
      <c r="CE6" s="219"/>
      <c r="CF6" s="219"/>
      <c r="CG6" s="219"/>
      <c r="CH6" s="219"/>
      <c r="CI6" s="219"/>
      <c r="CJ6" s="219"/>
      <c r="CK6" s="219"/>
      <c r="CL6" s="219"/>
      <c r="CM6" s="219"/>
      <c r="CN6" s="219"/>
      <c r="CO6" s="219"/>
      <c r="CP6" s="219"/>
      <c r="CQ6" s="219"/>
      <c r="CR6" s="219"/>
      <c r="CS6" s="219"/>
      <c r="CT6" s="219"/>
      <c r="CU6" s="219"/>
      <c r="CV6" s="219"/>
      <c r="CW6" s="219"/>
      <c r="CX6" s="219"/>
      <c r="CY6" s="219"/>
      <c r="CZ6" s="219"/>
      <c r="DA6" s="219"/>
      <c r="DB6" s="219"/>
      <c r="DC6" s="219"/>
      <c r="DD6" s="219"/>
      <c r="DE6" s="219"/>
      <c r="DF6" s="219"/>
      <c r="DG6" s="219"/>
      <c r="DH6" s="219"/>
      <c r="DI6" s="219"/>
      <c r="DJ6" s="219"/>
      <c r="DK6" s="219"/>
      <c r="DL6" s="219"/>
      <c r="DM6" s="219"/>
      <c r="DN6" s="219"/>
      <c r="DO6" s="219"/>
      <c r="DP6" s="219"/>
      <c r="DQ6" s="219"/>
      <c r="DR6" s="219"/>
      <c r="DS6" s="219"/>
      <c r="DT6" s="219"/>
      <c r="DU6" s="219"/>
      <c r="DV6" s="219"/>
      <c r="DW6" s="219"/>
      <c r="DX6" s="219"/>
      <c r="DY6" s="219"/>
      <c r="DZ6" s="219"/>
      <c r="EA6" s="219"/>
      <c r="EB6" s="219"/>
      <c r="EC6" s="219"/>
      <c r="ED6" s="219"/>
      <c r="EE6" s="219"/>
      <c r="EF6" s="219"/>
      <c r="EG6" s="219"/>
      <c r="EH6" s="219"/>
      <c r="EI6" s="219"/>
      <c r="EJ6" s="219"/>
      <c r="EK6" s="219"/>
      <c r="EL6" s="219"/>
      <c r="EM6" s="219"/>
      <c r="EN6" s="219"/>
      <c r="EO6" s="219"/>
      <c r="EP6" s="219"/>
      <c r="EQ6" s="219"/>
      <c r="ER6" s="219"/>
      <c r="ES6" s="219"/>
      <c r="ET6" s="219"/>
      <c r="EU6" s="219"/>
      <c r="EV6" s="219"/>
      <c r="EW6" s="219"/>
      <c r="EX6" s="219"/>
      <c r="EY6" s="219"/>
      <c r="EZ6" s="219"/>
      <c r="FA6" s="219"/>
      <c r="FB6" s="219"/>
      <c r="FC6" s="219"/>
      <c r="FD6" s="219"/>
      <c r="FE6" s="219"/>
      <c r="FF6" s="219"/>
      <c r="FG6" s="219"/>
      <c r="FH6" s="219"/>
      <c r="FI6" s="219"/>
      <c r="FJ6" s="219"/>
      <c r="FK6" s="219"/>
      <c r="FL6" s="219"/>
      <c r="FM6" s="219"/>
      <c r="FN6" s="219"/>
      <c r="FO6" s="219"/>
      <c r="FP6" s="219"/>
      <c r="FQ6" s="219"/>
      <c r="FR6" s="219"/>
      <c r="FS6" s="219"/>
      <c r="FT6" s="219"/>
      <c r="FU6" s="219"/>
      <c r="FV6" s="219"/>
      <c r="FW6" s="219"/>
      <c r="FX6" s="219"/>
      <c r="FY6" s="219"/>
      <c r="FZ6" s="219"/>
      <c r="GA6" s="219"/>
      <c r="GB6" s="219"/>
      <c r="GC6" s="219"/>
      <c r="GD6" s="219"/>
      <c r="GE6" s="219"/>
      <c r="GF6" s="219"/>
      <c r="GG6" s="219"/>
      <c r="GH6" s="219"/>
      <c r="GI6" s="219"/>
      <c r="GJ6" s="219"/>
      <c r="GK6" s="219"/>
      <c r="GL6" s="219"/>
      <c r="GM6" s="219"/>
      <c r="GN6" s="219"/>
      <c r="GO6" s="219"/>
      <c r="GP6" s="219"/>
      <c r="GQ6" s="219"/>
      <c r="GR6" s="219"/>
      <c r="GS6" s="219"/>
      <c r="GT6" s="219"/>
      <c r="GU6" s="219"/>
      <c r="GV6" s="219"/>
      <c r="GW6" s="219"/>
      <c r="GX6" s="219"/>
      <c r="GY6" s="219"/>
      <c r="GZ6" s="219"/>
      <c r="HA6" s="219"/>
      <c r="HB6" s="219"/>
      <c r="HC6" s="219"/>
      <c r="HD6" s="219"/>
      <c r="HE6" s="219"/>
      <c r="HF6" s="219"/>
      <c r="HG6" s="219"/>
      <c r="HH6" s="219"/>
      <c r="HI6" s="219"/>
      <c r="HJ6" s="219"/>
      <c r="HK6" s="219"/>
      <c r="HL6" s="219"/>
      <c r="HM6" s="219"/>
      <c r="HN6" s="219"/>
      <c r="HO6" s="219"/>
      <c r="HP6" s="219"/>
      <c r="HQ6" s="219"/>
      <c r="HR6" s="219"/>
      <c r="HS6" s="219"/>
      <c r="HT6" s="219"/>
      <c r="HU6" s="219"/>
      <c r="HV6" s="219"/>
      <c r="HW6" s="219"/>
      <c r="HX6" s="219"/>
      <c r="HY6" s="219"/>
      <c r="HZ6" s="219"/>
      <c r="IA6" s="219"/>
      <c r="IB6" s="219"/>
      <c r="IC6" s="219"/>
      <c r="ID6" s="219"/>
      <c r="IE6" s="219"/>
      <c r="IF6" s="219"/>
      <c r="IG6" s="219"/>
      <c r="IH6" s="219"/>
      <c r="II6" s="219"/>
      <c r="IJ6" s="219"/>
      <c r="IK6" s="219"/>
      <c r="IL6" s="219"/>
      <c r="IM6" s="219"/>
      <c r="IN6" s="219"/>
      <c r="IO6" s="219"/>
      <c r="IP6" s="219"/>
      <c r="IQ6" s="219"/>
      <c r="IR6" s="219"/>
      <c r="IS6" s="219"/>
      <c r="IT6" s="219"/>
      <c r="IU6" s="219"/>
      <c r="IV6" s="219"/>
    </row>
    <row r="7" spans="2:25" ht="15.75">
      <c r="B7" s="81" t="s">
        <v>62</v>
      </c>
      <c r="E7" s="275">
        <v>0.326</v>
      </c>
      <c r="G7" s="275">
        <v>0.29100000000000004</v>
      </c>
      <c r="I7" s="275">
        <v>0.278</v>
      </c>
      <c r="K7" s="275">
        <v>0.299</v>
      </c>
      <c r="M7" s="275">
        <v>0.311</v>
      </c>
      <c r="O7" s="275">
        <v>0.314</v>
      </c>
      <c r="Q7" s="275">
        <v>0.318</v>
      </c>
      <c r="S7" s="86"/>
      <c r="U7" s="217"/>
      <c r="W7" s="88"/>
      <c r="X7" s="226"/>
      <c r="Y7" s="88"/>
    </row>
    <row r="8" spans="2:25" ht="15.75">
      <c r="B8" s="81" t="s">
        <v>214</v>
      </c>
      <c r="E8" s="275">
        <v>0.315</v>
      </c>
      <c r="G8" s="275">
        <v>0.312</v>
      </c>
      <c r="I8" s="275">
        <v>0.382</v>
      </c>
      <c r="K8" s="275">
        <v>0.395</v>
      </c>
      <c r="M8" s="275">
        <v>0.37100000000000005</v>
      </c>
      <c r="O8" s="275">
        <v>0.373</v>
      </c>
      <c r="Q8" s="275">
        <v>0.374</v>
      </c>
      <c r="S8" s="86"/>
      <c r="U8" s="217"/>
      <c r="W8" s="88"/>
      <c r="X8" s="226"/>
      <c r="Y8" s="205"/>
    </row>
    <row r="9" spans="2:25" ht="15.75">
      <c r="B9" s="81" t="s">
        <v>215</v>
      </c>
      <c r="E9" s="275">
        <v>0.354</v>
      </c>
      <c r="G9" s="275">
        <v>0.371</v>
      </c>
      <c r="I9" s="275">
        <v>0.454</v>
      </c>
      <c r="K9" s="275">
        <v>0.452</v>
      </c>
      <c r="M9" s="275">
        <v>0.439</v>
      </c>
      <c r="O9" s="275">
        <v>0.449</v>
      </c>
      <c r="Q9" s="275">
        <v>0.46</v>
      </c>
      <c r="S9" s="86"/>
      <c r="U9" s="217"/>
      <c r="W9" s="88"/>
      <c r="X9" s="226"/>
      <c r="Y9" s="88"/>
    </row>
    <row r="10" spans="2:25" ht="15.75">
      <c r="B10" s="81" t="s">
        <v>63</v>
      </c>
      <c r="E10" s="275">
        <v>0.361</v>
      </c>
      <c r="G10" s="275">
        <v>0.372</v>
      </c>
      <c r="I10" s="275">
        <v>0.34900000000000003</v>
      </c>
      <c r="K10" s="275">
        <v>0.36300000000000004</v>
      </c>
      <c r="M10" s="275">
        <v>0.40700000000000003</v>
      </c>
      <c r="O10" s="275">
        <v>0.40900000000000003</v>
      </c>
      <c r="Q10" s="275">
        <v>0.41000000000000003</v>
      </c>
      <c r="S10" s="86"/>
      <c r="U10" s="228"/>
      <c r="W10" s="88"/>
      <c r="X10" s="226"/>
      <c r="Y10" s="205"/>
    </row>
    <row r="11" spans="2:25" ht="15.75">
      <c r="B11" s="81" t="s">
        <v>64</v>
      </c>
      <c r="E11" s="275">
        <v>0.071</v>
      </c>
      <c r="G11" s="275">
        <v>0.072</v>
      </c>
      <c r="I11" s="275">
        <v>0.073</v>
      </c>
      <c r="K11" s="275">
        <v>0.076</v>
      </c>
      <c r="M11" s="275">
        <v>0.075</v>
      </c>
      <c r="O11" s="275">
        <v>0.075</v>
      </c>
      <c r="Q11" s="275">
        <v>0.075</v>
      </c>
      <c r="W11" s="227"/>
      <c r="X11" s="226"/>
      <c r="Y11" s="205"/>
    </row>
    <row r="12" spans="2:17" ht="15.75">
      <c r="B12" s="81" t="s">
        <v>85</v>
      </c>
      <c r="E12" s="275">
        <v>0.206</v>
      </c>
      <c r="G12" s="275">
        <v>0.193</v>
      </c>
      <c r="I12" s="275">
        <v>0.183</v>
      </c>
      <c r="K12" s="275">
        <v>0.184</v>
      </c>
      <c r="M12" s="275">
        <v>0.2</v>
      </c>
      <c r="O12" s="275">
        <v>0.201</v>
      </c>
      <c r="Q12" s="275">
        <v>0.201</v>
      </c>
    </row>
    <row r="13" spans="5:15" ht="15.75">
      <c r="E13" s="204"/>
      <c r="F13" s="82"/>
      <c r="G13" s="204"/>
      <c r="I13" s="204"/>
      <c r="J13" s="223" t="s">
        <v>201</v>
      </c>
      <c r="K13" s="204"/>
      <c r="M13" s="204"/>
      <c r="O13" s="204"/>
    </row>
    <row r="14" spans="2:36" ht="15.75">
      <c r="B14" s="208" t="s">
        <v>189</v>
      </c>
      <c r="E14" s="82"/>
      <c r="F14" s="82"/>
      <c r="G14" s="82"/>
      <c r="I14" s="82"/>
      <c r="K14" s="82"/>
      <c r="M14" s="82"/>
      <c r="O14" s="82"/>
      <c r="Q14" s="82"/>
      <c r="S14" s="84"/>
      <c r="T14" s="205">
        <f>VALUE(U14)+2000</f>
        <v>2021</v>
      </c>
      <c r="U14" s="84" t="str">
        <f>RIGHT(E5,2)</f>
        <v>21</v>
      </c>
      <c r="X14" s="326" t="s">
        <v>237</v>
      </c>
      <c r="Y14" s="326"/>
      <c r="Z14" s="326"/>
      <c r="AA14" s="326"/>
      <c r="AB14" s="326"/>
      <c r="AC14" s="326"/>
      <c r="AD14" s="326"/>
      <c r="AE14" s="326"/>
      <c r="AF14" s="326"/>
      <c r="AG14" s="326"/>
      <c r="AH14" s="326"/>
      <c r="AI14" s="326"/>
      <c r="AJ14" s="326"/>
    </row>
    <row r="15" spans="2:36" ht="15.75">
      <c r="B15" s="81" t="s">
        <v>190</v>
      </c>
      <c r="E15" s="204">
        <v>0.605</v>
      </c>
      <c r="F15" s="204"/>
      <c r="G15" s="204">
        <v>0.62</v>
      </c>
      <c r="H15" s="204"/>
      <c r="I15" s="204">
        <v>0.62</v>
      </c>
      <c r="J15" s="204"/>
      <c r="K15" s="204">
        <v>0.62</v>
      </c>
      <c r="M15" s="204">
        <f>+K15</f>
        <v>0.62</v>
      </c>
      <c r="O15" s="204">
        <f>+M15</f>
        <v>0.62</v>
      </c>
      <c r="Q15" s="204">
        <f>+O15</f>
        <v>0.62</v>
      </c>
      <c r="S15" s="84"/>
      <c r="T15" s="205">
        <f aca="true" t="shared" si="0" ref="T15:T20">T14+1</f>
        <v>2022</v>
      </c>
      <c r="U15" s="84"/>
      <c r="X15" s="80">
        <f>IF(MONTH(E2)&gt;6,YEAR(E2)+1,YEAR(E2))</f>
        <v>2021</v>
      </c>
      <c r="Y15" s="80"/>
      <c r="Z15" s="80">
        <f>X15+1</f>
        <v>2022</v>
      </c>
      <c r="AA15" s="80"/>
      <c r="AB15" s="80">
        <f>Z15+1</f>
        <v>2023</v>
      </c>
      <c r="AC15" s="80"/>
      <c r="AD15" s="80">
        <f>AB15+1</f>
        <v>2024</v>
      </c>
      <c r="AE15" s="80"/>
      <c r="AF15" s="80">
        <f>AD15+1</f>
        <v>2025</v>
      </c>
      <c r="AG15" s="80"/>
      <c r="AH15" s="80">
        <f>AF15+1</f>
        <v>2026</v>
      </c>
      <c r="AI15" s="80"/>
      <c r="AJ15" s="80">
        <f>AH15+1</f>
        <v>2027</v>
      </c>
    </row>
    <row r="16" spans="2:36" ht="15.75">
      <c r="B16" s="81" t="s">
        <v>191</v>
      </c>
      <c r="E16" s="204">
        <v>0.57</v>
      </c>
      <c r="F16" s="204"/>
      <c r="G16" s="204">
        <v>0.57</v>
      </c>
      <c r="H16" s="204"/>
      <c r="I16" s="204">
        <v>0.57</v>
      </c>
      <c r="J16" s="204"/>
      <c r="K16" s="204">
        <v>0.57</v>
      </c>
      <c r="M16" s="204">
        <f>+K16</f>
        <v>0.57</v>
      </c>
      <c r="O16" s="204">
        <f>+M16</f>
        <v>0.57</v>
      </c>
      <c r="Q16" s="204">
        <f>+O16</f>
        <v>0.57</v>
      </c>
      <c r="S16" s="84"/>
      <c r="T16" s="205">
        <f t="shared" si="0"/>
        <v>2023</v>
      </c>
      <c r="U16" s="84"/>
      <c r="V16" s="86"/>
      <c r="X16" s="80" t="str">
        <f>"FY"&amp;RIGHT(TEXT(X15,"0"),2)</f>
        <v>FY21</v>
      </c>
      <c r="Y16" s="80"/>
      <c r="Z16" s="80" t="str">
        <f>"FY"&amp;RIGHT(TEXT(Z15,"0"),2)</f>
        <v>FY22</v>
      </c>
      <c r="AA16" s="80"/>
      <c r="AB16" s="80" t="str">
        <f>"FY"&amp;RIGHT(TEXT(AB15,"0"),2)</f>
        <v>FY23</v>
      </c>
      <c r="AC16" s="80"/>
      <c r="AD16" s="80" t="str">
        <f>"FY"&amp;RIGHT(TEXT(AD15,"0"),2)</f>
        <v>FY24</v>
      </c>
      <c r="AE16" s="80"/>
      <c r="AF16" s="80" t="str">
        <f>"FY"&amp;RIGHT(TEXT(AF15,"0"),2)</f>
        <v>FY25</v>
      </c>
      <c r="AG16" s="80"/>
      <c r="AH16" s="80" t="str">
        <f>"FY"&amp;RIGHT(TEXT(AH15,"0"),2)</f>
        <v>FY26</v>
      </c>
      <c r="AI16" s="80"/>
      <c r="AJ16" s="80" t="str">
        <f>"FY"&amp;RIGHT(TEXT(AJ15,"0"),2)</f>
        <v>FY27</v>
      </c>
    </row>
    <row r="17" spans="2:21" ht="15.75">
      <c r="B17" s="81" t="s">
        <v>192</v>
      </c>
      <c r="E17" s="204">
        <v>0.3</v>
      </c>
      <c r="F17" s="204"/>
      <c r="G17" s="204">
        <v>0.31</v>
      </c>
      <c r="H17" s="204"/>
      <c r="I17" s="204">
        <v>0.31</v>
      </c>
      <c r="J17" s="204"/>
      <c r="K17" s="204">
        <v>0.31</v>
      </c>
      <c r="M17" s="204">
        <f>+K17</f>
        <v>0.31</v>
      </c>
      <c r="O17" s="204">
        <f>+M17</f>
        <v>0.31</v>
      </c>
      <c r="Q17" s="204">
        <f>+O17</f>
        <v>0.31</v>
      </c>
      <c r="S17" s="84"/>
      <c r="T17" s="205">
        <f t="shared" si="0"/>
        <v>2024</v>
      </c>
      <c r="U17" s="84"/>
    </row>
    <row r="18" spans="5:21" ht="15.75">
      <c r="E18" s="204"/>
      <c r="F18" s="82"/>
      <c r="G18" s="204"/>
      <c r="H18" s="82"/>
      <c r="I18" s="204"/>
      <c r="J18" s="82"/>
      <c r="K18" s="204"/>
      <c r="M18" s="204"/>
      <c r="O18" s="204"/>
      <c r="Q18" s="204"/>
      <c r="S18" s="84"/>
      <c r="T18" s="205">
        <f t="shared" si="0"/>
        <v>2025</v>
      </c>
      <c r="U18" s="84"/>
    </row>
    <row r="19" spans="2:26" ht="15.75">
      <c r="B19" s="208" t="s">
        <v>199</v>
      </c>
      <c r="E19" s="82"/>
      <c r="F19" s="82"/>
      <c r="G19" s="82"/>
      <c r="H19" s="82"/>
      <c r="I19" s="82"/>
      <c r="J19" s="82"/>
      <c r="K19" s="82"/>
      <c r="M19" s="82"/>
      <c r="O19" s="82"/>
      <c r="Q19" s="82"/>
      <c r="S19" s="84"/>
      <c r="T19" s="205">
        <f t="shared" si="0"/>
        <v>2026</v>
      </c>
      <c r="U19" s="84"/>
      <c r="Z19" s="223"/>
    </row>
    <row r="20" spans="2:21" ht="15.75">
      <c r="B20" s="81" t="s">
        <v>190</v>
      </c>
      <c r="E20" s="204">
        <v>0.26</v>
      </c>
      <c r="F20" s="82"/>
      <c r="G20" s="204">
        <v>0.26</v>
      </c>
      <c r="H20" s="82"/>
      <c r="I20" s="204">
        <v>0.26</v>
      </c>
      <c r="J20" s="82"/>
      <c r="K20" s="204">
        <v>0.26</v>
      </c>
      <c r="M20" s="204">
        <v>0.26</v>
      </c>
      <c r="O20" s="204">
        <v>0.26</v>
      </c>
      <c r="Q20" s="204">
        <v>0.26</v>
      </c>
      <c r="S20" s="84"/>
      <c r="T20" s="205">
        <f t="shared" si="0"/>
        <v>2027</v>
      </c>
      <c r="U20" s="84"/>
    </row>
    <row r="21" spans="2:17" ht="15.75">
      <c r="B21" s="81" t="s">
        <v>191</v>
      </c>
      <c r="E21" s="204">
        <v>0.26</v>
      </c>
      <c r="F21" s="82"/>
      <c r="G21" s="204">
        <v>0.26</v>
      </c>
      <c r="H21" s="82"/>
      <c r="I21" s="204">
        <v>0.26</v>
      </c>
      <c r="J21" s="82"/>
      <c r="K21" s="204">
        <v>0.26</v>
      </c>
      <c r="M21" s="204">
        <v>0.26</v>
      </c>
      <c r="O21" s="204">
        <v>0.26</v>
      </c>
      <c r="Q21" s="204">
        <v>0.26</v>
      </c>
    </row>
    <row r="22" spans="2:21" ht="15.75">
      <c r="B22" s="81" t="s">
        <v>192</v>
      </c>
      <c r="E22" s="204">
        <v>0.26</v>
      </c>
      <c r="F22" s="82"/>
      <c r="G22" s="204">
        <v>0.26</v>
      </c>
      <c r="H22" s="82"/>
      <c r="I22" s="204">
        <v>0.26</v>
      </c>
      <c r="J22" s="82"/>
      <c r="K22" s="204">
        <v>0.26</v>
      </c>
      <c r="M22" s="204">
        <v>0.26</v>
      </c>
      <c r="O22" s="204">
        <v>0.26</v>
      </c>
      <c r="Q22" s="204">
        <v>0.26</v>
      </c>
      <c r="U22" s="205"/>
    </row>
    <row r="24" spans="1:256" ht="15.75">
      <c r="A24" s="219"/>
      <c r="B24" s="265" t="s">
        <v>96</v>
      </c>
      <c r="C24" s="266"/>
      <c r="D24" s="266"/>
      <c r="E24" s="267" t="s">
        <v>21</v>
      </c>
      <c r="F24" s="266"/>
      <c r="G24" s="267" t="s">
        <v>53</v>
      </c>
      <c r="H24" s="266"/>
      <c r="I24" s="267" t="s">
        <v>55</v>
      </c>
      <c r="J24" s="266"/>
      <c r="K24" s="267" t="s">
        <v>57</v>
      </c>
      <c r="L24" s="266"/>
      <c r="M24" s="267" t="s">
        <v>59</v>
      </c>
      <c r="N24" s="266"/>
      <c r="O24" s="267" t="s">
        <v>97</v>
      </c>
      <c r="P24" s="266"/>
      <c r="Q24" s="267" t="s">
        <v>98</v>
      </c>
      <c r="R24" s="219"/>
      <c r="S24" s="284"/>
      <c r="T24" s="285"/>
      <c r="U24" s="219"/>
      <c r="V24" s="219"/>
      <c r="W24" s="285" t="s">
        <v>236</v>
      </c>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19"/>
      <c r="CM24" s="219"/>
      <c r="CN24" s="219"/>
      <c r="CO24" s="219"/>
      <c r="CP24" s="219"/>
      <c r="CQ24" s="219"/>
      <c r="CR24" s="219"/>
      <c r="CS24" s="219"/>
      <c r="CT24" s="219"/>
      <c r="CU24" s="219"/>
      <c r="CV24" s="219"/>
      <c r="CW24" s="219"/>
      <c r="CX24" s="219"/>
      <c r="CY24" s="219"/>
      <c r="CZ24" s="219"/>
      <c r="DA24" s="219"/>
      <c r="DB24" s="219"/>
      <c r="DC24" s="219"/>
      <c r="DD24" s="219"/>
      <c r="DE24" s="219"/>
      <c r="DF24" s="219"/>
      <c r="DG24" s="219"/>
      <c r="DH24" s="219"/>
      <c r="DI24" s="219"/>
      <c r="DJ24" s="219"/>
      <c r="DK24" s="219"/>
      <c r="DL24" s="219"/>
      <c r="DM24" s="219"/>
      <c r="DN24" s="219"/>
      <c r="DO24" s="219"/>
      <c r="DP24" s="219"/>
      <c r="DQ24" s="219"/>
      <c r="DR24" s="219"/>
      <c r="DS24" s="219"/>
      <c r="DT24" s="219"/>
      <c r="DU24" s="219"/>
      <c r="DV24" s="219"/>
      <c r="DW24" s="219"/>
      <c r="DX24" s="219"/>
      <c r="DY24" s="219"/>
      <c r="DZ24" s="219"/>
      <c r="EA24" s="219"/>
      <c r="EB24" s="219"/>
      <c r="EC24" s="219"/>
      <c r="ED24" s="219"/>
      <c r="EE24" s="219"/>
      <c r="EF24" s="219"/>
      <c r="EG24" s="219"/>
      <c r="EH24" s="219"/>
      <c r="EI24" s="219"/>
      <c r="EJ24" s="219"/>
      <c r="EK24" s="219"/>
      <c r="EL24" s="219"/>
      <c r="EM24" s="219"/>
      <c r="EN24" s="219"/>
      <c r="EO24" s="219"/>
      <c r="EP24" s="219"/>
      <c r="EQ24" s="219"/>
      <c r="ER24" s="219"/>
      <c r="ES24" s="219"/>
      <c r="ET24" s="219"/>
      <c r="EU24" s="219"/>
      <c r="EV24" s="219"/>
      <c r="EW24" s="219"/>
      <c r="EX24" s="219"/>
      <c r="EY24" s="219"/>
      <c r="EZ24" s="219"/>
      <c r="FA24" s="219"/>
      <c r="FB24" s="219"/>
      <c r="FC24" s="219"/>
      <c r="FD24" s="219"/>
      <c r="FE24" s="219"/>
      <c r="FF24" s="219"/>
      <c r="FG24" s="219"/>
      <c r="FH24" s="219"/>
      <c r="FI24" s="219"/>
      <c r="FJ24" s="219"/>
      <c r="FK24" s="219"/>
      <c r="FL24" s="219"/>
      <c r="FM24" s="219"/>
      <c r="FN24" s="219"/>
      <c r="FO24" s="219"/>
      <c r="FP24" s="219"/>
      <c r="FQ24" s="219"/>
      <c r="FR24" s="219"/>
      <c r="FS24" s="219"/>
      <c r="FT24" s="219"/>
      <c r="FU24" s="219"/>
      <c r="FV24" s="219"/>
      <c r="FW24" s="219"/>
      <c r="FX24" s="219"/>
      <c r="FY24" s="219"/>
      <c r="FZ24" s="219"/>
      <c r="GA24" s="219"/>
      <c r="GB24" s="219"/>
      <c r="GC24" s="219"/>
      <c r="GD24" s="219"/>
      <c r="GE24" s="219"/>
      <c r="GF24" s="219"/>
      <c r="GG24" s="219"/>
      <c r="GH24" s="219"/>
      <c r="GI24" s="219"/>
      <c r="GJ24" s="219"/>
      <c r="GK24" s="219"/>
      <c r="GL24" s="219"/>
      <c r="GM24" s="219"/>
      <c r="GN24" s="219"/>
      <c r="GO24" s="219"/>
      <c r="GP24" s="219"/>
      <c r="GQ24" s="219"/>
      <c r="GR24" s="219"/>
      <c r="GS24" s="219"/>
      <c r="GT24" s="219"/>
      <c r="GU24" s="219"/>
      <c r="GV24" s="219"/>
      <c r="GW24" s="219"/>
      <c r="GX24" s="219"/>
      <c r="GY24" s="219"/>
      <c r="GZ24" s="219"/>
      <c r="HA24" s="219"/>
      <c r="HB24" s="219"/>
      <c r="HC24" s="219"/>
      <c r="HD24" s="219"/>
      <c r="HE24" s="219"/>
      <c r="HF24" s="219"/>
      <c r="HG24" s="219"/>
      <c r="HH24" s="219"/>
      <c r="HI24" s="219"/>
      <c r="HJ24" s="219"/>
      <c r="HK24" s="219"/>
      <c r="HL24" s="219"/>
      <c r="HM24" s="219"/>
      <c r="HN24" s="219"/>
      <c r="HO24" s="219"/>
      <c r="HP24" s="219"/>
      <c r="HQ24" s="219"/>
      <c r="HR24" s="219"/>
      <c r="HS24" s="219"/>
      <c r="HT24" s="219"/>
      <c r="HU24" s="219"/>
      <c r="HV24" s="219"/>
      <c r="HW24" s="219"/>
      <c r="HX24" s="219"/>
      <c r="HY24" s="219"/>
      <c r="HZ24" s="219"/>
      <c r="IA24" s="219"/>
      <c r="IB24" s="219"/>
      <c r="IC24" s="219"/>
      <c r="ID24" s="219"/>
      <c r="IE24" s="219"/>
      <c r="IF24" s="219"/>
      <c r="IG24" s="219"/>
      <c r="IH24" s="219"/>
      <c r="II24" s="219"/>
      <c r="IJ24" s="219"/>
      <c r="IK24" s="219"/>
      <c r="IL24" s="219"/>
      <c r="IM24" s="219"/>
      <c r="IN24" s="219"/>
      <c r="IO24" s="219"/>
      <c r="IP24" s="219"/>
      <c r="IQ24" s="219"/>
      <c r="IR24" s="219"/>
      <c r="IS24" s="219"/>
      <c r="IT24" s="219"/>
      <c r="IU24" s="219"/>
      <c r="IV24" s="219"/>
    </row>
    <row r="25" spans="2:23" ht="15.75">
      <c r="B25" s="268" t="s">
        <v>62</v>
      </c>
      <c r="C25" s="269"/>
      <c r="D25" s="269"/>
      <c r="E25" s="286">
        <f aca="true" t="shared" si="1" ref="E25:E30">IF(X$15&lt;$T$20,HLOOKUP(X$16,$E$5:$Q$17,$W25,FALSE),$Q7+(0.005*(X$15-$T$20)))</f>
        <v>0.326</v>
      </c>
      <c r="F25" s="281"/>
      <c r="G25" s="286">
        <f aca="true" t="shared" si="2" ref="G25:G30">IF(Z$15&lt;$T$20,HLOOKUP(Z$16,$E$5:$Q$17,$W25,FALSE),$Q7+(0.005*(Z$15-$T$20)))</f>
        <v>0.29100000000000004</v>
      </c>
      <c r="H25" s="281"/>
      <c r="I25" s="286">
        <f aca="true" t="shared" si="3" ref="I25:I30">IF(AB$15&lt;$T$20,HLOOKUP(AB$16,$E$5:$Q$17,$W25,FALSE),$Q7+(0.005*(AB$15-$T$20)))</f>
        <v>0.278</v>
      </c>
      <c r="J25" s="281"/>
      <c r="K25" s="286">
        <f aca="true" t="shared" si="4" ref="K25:K30">IF(AD$15&lt;$T$20,HLOOKUP(AD$16,$E$5:$Q$17,$W25,FALSE),$Q7+(0.005*(AD$15-$T$20)))</f>
        <v>0.299</v>
      </c>
      <c r="L25" s="281"/>
      <c r="M25" s="286">
        <f aca="true" t="shared" si="5" ref="M25:M30">IF(AF$15&lt;$T$20,HLOOKUP(AF$16,$E$5:$Q$17,$W25,FALSE),$Q7+(0.005*(AF$15-$T$20)))</f>
        <v>0.311</v>
      </c>
      <c r="N25" s="281"/>
      <c r="O25" s="286">
        <f aca="true" t="shared" si="6" ref="O25:O30">IF(AH$15&lt;$T$20,HLOOKUP(AH$16,$E$5:$Q$17,$W25,FALSE),$Q7+(0.005*(AH$15-$T$20)))</f>
        <v>0.314</v>
      </c>
      <c r="P25" s="281"/>
      <c r="Q25" s="286">
        <f aca="true" t="shared" si="7" ref="Q25:Q30">IF(AJ$15&lt;$T$20,HLOOKUP(AJ$16,$E$5:$Q$17,$W25,FALSE),$Q7+(0.005*(AJ$15-$T$20)))</f>
        <v>0.318</v>
      </c>
      <c r="W25" s="78">
        <v>3</v>
      </c>
    </row>
    <row r="26" spans="2:23" ht="15.75">
      <c r="B26" s="268" t="s">
        <v>84</v>
      </c>
      <c r="C26" s="269"/>
      <c r="D26" s="269"/>
      <c r="E26" s="286">
        <f t="shared" si="1"/>
        <v>0.315</v>
      </c>
      <c r="F26" s="282"/>
      <c r="G26" s="286">
        <f t="shared" si="2"/>
        <v>0.312</v>
      </c>
      <c r="H26" s="281"/>
      <c r="I26" s="286">
        <f t="shared" si="3"/>
        <v>0.382</v>
      </c>
      <c r="J26" s="282"/>
      <c r="K26" s="286">
        <f t="shared" si="4"/>
        <v>0.395</v>
      </c>
      <c r="L26" s="282"/>
      <c r="M26" s="286">
        <f t="shared" si="5"/>
        <v>0.37100000000000005</v>
      </c>
      <c r="N26" s="282"/>
      <c r="O26" s="286">
        <f t="shared" si="6"/>
        <v>0.373</v>
      </c>
      <c r="P26" s="282"/>
      <c r="Q26" s="286">
        <f t="shared" si="7"/>
        <v>0.374</v>
      </c>
      <c r="W26" s="78">
        <v>4</v>
      </c>
    </row>
    <row r="27" spans="2:23" ht="15.75">
      <c r="B27" s="264" t="s">
        <v>215</v>
      </c>
      <c r="C27" s="269"/>
      <c r="D27" s="269"/>
      <c r="E27" s="286">
        <f t="shared" si="1"/>
        <v>0.354</v>
      </c>
      <c r="F27" s="282"/>
      <c r="G27" s="286">
        <f t="shared" si="2"/>
        <v>0.371</v>
      </c>
      <c r="H27" s="281"/>
      <c r="I27" s="286">
        <f t="shared" si="3"/>
        <v>0.454</v>
      </c>
      <c r="J27" s="282"/>
      <c r="K27" s="286">
        <f t="shared" si="4"/>
        <v>0.452</v>
      </c>
      <c r="L27" s="282"/>
      <c r="M27" s="286">
        <f t="shared" si="5"/>
        <v>0.439</v>
      </c>
      <c r="N27" s="282"/>
      <c r="O27" s="286">
        <f t="shared" si="6"/>
        <v>0.449</v>
      </c>
      <c r="P27" s="282"/>
      <c r="Q27" s="286">
        <f t="shared" si="7"/>
        <v>0.46</v>
      </c>
      <c r="W27" s="78">
        <v>5</v>
      </c>
    </row>
    <row r="28" spans="2:23" ht="15.75">
      <c r="B28" s="268" t="s">
        <v>63</v>
      </c>
      <c r="C28" s="269"/>
      <c r="D28" s="269"/>
      <c r="E28" s="286">
        <f t="shared" si="1"/>
        <v>0.361</v>
      </c>
      <c r="F28" s="282"/>
      <c r="G28" s="286">
        <f t="shared" si="2"/>
        <v>0.372</v>
      </c>
      <c r="H28" s="281"/>
      <c r="I28" s="286">
        <f t="shared" si="3"/>
        <v>0.34900000000000003</v>
      </c>
      <c r="J28" s="282"/>
      <c r="K28" s="286">
        <f t="shared" si="4"/>
        <v>0.36300000000000004</v>
      </c>
      <c r="L28" s="282"/>
      <c r="M28" s="286">
        <f t="shared" si="5"/>
        <v>0.40700000000000003</v>
      </c>
      <c r="N28" s="282"/>
      <c r="O28" s="286">
        <f t="shared" si="6"/>
        <v>0.40900000000000003</v>
      </c>
      <c r="P28" s="282"/>
      <c r="Q28" s="286">
        <f t="shared" si="7"/>
        <v>0.41000000000000003</v>
      </c>
      <c r="W28" s="78">
        <v>6</v>
      </c>
    </row>
    <row r="29" spans="2:23" ht="15.75">
      <c r="B29" s="268" t="s">
        <v>64</v>
      </c>
      <c r="C29" s="269"/>
      <c r="D29" s="269"/>
      <c r="E29" s="286">
        <f t="shared" si="1"/>
        <v>0.071</v>
      </c>
      <c r="F29" s="282"/>
      <c r="G29" s="286">
        <f t="shared" si="2"/>
        <v>0.072</v>
      </c>
      <c r="H29" s="281"/>
      <c r="I29" s="286">
        <f t="shared" si="3"/>
        <v>0.073</v>
      </c>
      <c r="J29" s="282"/>
      <c r="K29" s="286">
        <f t="shared" si="4"/>
        <v>0.076</v>
      </c>
      <c r="L29" s="282"/>
      <c r="M29" s="286">
        <f t="shared" si="5"/>
        <v>0.075</v>
      </c>
      <c r="N29" s="282"/>
      <c r="O29" s="286">
        <f t="shared" si="6"/>
        <v>0.075</v>
      </c>
      <c r="P29" s="282"/>
      <c r="Q29" s="286">
        <f t="shared" si="7"/>
        <v>0.075</v>
      </c>
      <c r="W29" s="78">
        <v>7</v>
      </c>
    </row>
    <row r="30" spans="2:23" ht="15.75">
      <c r="B30" s="268" t="s">
        <v>85</v>
      </c>
      <c r="C30" s="269"/>
      <c r="D30" s="269"/>
      <c r="E30" s="286">
        <f t="shared" si="1"/>
        <v>0.206</v>
      </c>
      <c r="F30" s="282"/>
      <c r="G30" s="286">
        <f t="shared" si="2"/>
        <v>0.193</v>
      </c>
      <c r="H30" s="281"/>
      <c r="I30" s="286">
        <f t="shared" si="3"/>
        <v>0.183</v>
      </c>
      <c r="J30" s="282"/>
      <c r="K30" s="286">
        <f t="shared" si="4"/>
        <v>0.184</v>
      </c>
      <c r="L30" s="282"/>
      <c r="M30" s="286">
        <f t="shared" si="5"/>
        <v>0.2</v>
      </c>
      <c r="N30" s="282"/>
      <c r="O30" s="286">
        <f t="shared" si="6"/>
        <v>0.201</v>
      </c>
      <c r="P30" s="282"/>
      <c r="Q30" s="286">
        <f t="shared" si="7"/>
        <v>0.201</v>
      </c>
      <c r="W30" s="78">
        <v>8</v>
      </c>
    </row>
    <row r="31" spans="2:23" ht="15.75">
      <c r="B31" s="270" t="s">
        <v>194</v>
      </c>
      <c r="C31" s="269"/>
      <c r="D31" s="269"/>
      <c r="E31" s="286">
        <f>IF(X$15&lt;$T$20,HLOOKUP(X$16,$E$5:$Q$17,$W31,FALSE),$Q15)</f>
        <v>0.605</v>
      </c>
      <c r="F31" s="282"/>
      <c r="G31" s="286">
        <f>IF(Z$15&lt;$T$20,HLOOKUP(Z$16,$E$5:$Q$17,$W31,FALSE),$Q15)</f>
        <v>0.62</v>
      </c>
      <c r="H31" s="281"/>
      <c r="I31" s="286">
        <f>IF(AB$15&lt;$T$20,HLOOKUP(AB$16,$E$5:$Q$17,$W31,FALSE),$Q15)</f>
        <v>0.62</v>
      </c>
      <c r="J31" s="282"/>
      <c r="K31" s="286">
        <f>IF(AD$15&lt;$T$20,HLOOKUP(AD$16,$E$5:$Q$17,$W31,FALSE),$Q15)</f>
        <v>0.62</v>
      </c>
      <c r="L31" s="282"/>
      <c r="M31" s="286">
        <f>IF(AF$15&lt;$T$20,HLOOKUP(AF$16,$E$5:$Q$17,$W31,FALSE),$Q15)</f>
        <v>0.62</v>
      </c>
      <c r="N31" s="282"/>
      <c r="O31" s="286">
        <f>IF(AH$15&lt;$T$20,HLOOKUP(AH$16,$E$5:$Q$17,$W31,FALSE),$Q15)</f>
        <v>0.62</v>
      </c>
      <c r="P31" s="282"/>
      <c r="Q31" s="286">
        <f>IF(AJ$15&lt;$T$20,HLOOKUP(AJ$16,$E$5:$Q$17,$W31,FALSE),$Q15)</f>
        <v>0.62</v>
      </c>
      <c r="W31" s="78">
        <v>11</v>
      </c>
    </row>
    <row r="32" spans="2:23" ht="15.75">
      <c r="B32" s="270" t="s">
        <v>195</v>
      </c>
      <c r="C32" s="269"/>
      <c r="D32" s="269"/>
      <c r="E32" s="286">
        <f>IF(X$15&lt;$T$20,HLOOKUP(X$16,$E$5:$Q$17,$W32,FALSE),$Q16)</f>
        <v>0.57</v>
      </c>
      <c r="F32" s="282"/>
      <c r="G32" s="286">
        <f>IF(Z$15&lt;$T$20,HLOOKUP(Z$16,$E$5:$Q$17,$W32,FALSE),$Q16)</f>
        <v>0.57</v>
      </c>
      <c r="H32" s="281"/>
      <c r="I32" s="286">
        <f>IF(AB$15&lt;$T$20,HLOOKUP(AB$16,$E$5:$Q$17,$W32,FALSE),$Q16)</f>
        <v>0.57</v>
      </c>
      <c r="J32" s="282"/>
      <c r="K32" s="286">
        <f>IF(AD$15&lt;$T$20,HLOOKUP(AD$16,$E$5:$Q$17,$W32,FALSE),$Q16)</f>
        <v>0.57</v>
      </c>
      <c r="L32" s="282"/>
      <c r="M32" s="286">
        <f>IF(AF$15&lt;$T$20,HLOOKUP(AF$16,$E$5:$Q$17,$W32,FALSE),$Q16)</f>
        <v>0.57</v>
      </c>
      <c r="N32" s="282"/>
      <c r="O32" s="286">
        <f>IF(AH$15&lt;$T$20,HLOOKUP(AH$16,$E$5:$Q$17,$W32,FALSE),$Q16)</f>
        <v>0.57</v>
      </c>
      <c r="P32" s="282"/>
      <c r="Q32" s="286">
        <f>IF(AJ$15&lt;$T$20,HLOOKUP(AJ$16,$E$5:$Q$17,$W32,FALSE),$Q16)</f>
        <v>0.57</v>
      </c>
      <c r="W32" s="78">
        <v>12</v>
      </c>
    </row>
    <row r="33" spans="2:23" ht="15.75">
      <c r="B33" s="270" t="s">
        <v>196</v>
      </c>
      <c r="C33" s="269"/>
      <c r="D33" s="269"/>
      <c r="E33" s="286">
        <f>IF(X$15&lt;$T$20,HLOOKUP(X$16,$E$5:$Q$17,$W33,FALSE),$Q17)</f>
        <v>0.3</v>
      </c>
      <c r="F33" s="282"/>
      <c r="G33" s="286">
        <f>IF(Z$15&lt;$T$20,HLOOKUP(Z$16,$E$5:$Q$17,$W33,FALSE),$Q17)</f>
        <v>0.31</v>
      </c>
      <c r="H33" s="281"/>
      <c r="I33" s="286">
        <f>IF(AB$15&lt;$T$20,HLOOKUP(AB$16,$E$5:$Q$17,$W33,FALSE),$Q17)</f>
        <v>0.31</v>
      </c>
      <c r="J33" s="282"/>
      <c r="K33" s="286">
        <f>IF(AD$15&lt;$T$20,HLOOKUP(AD$16,$E$5:$Q$17,$W33,FALSE),$Q17)</f>
        <v>0.31</v>
      </c>
      <c r="L33" s="282"/>
      <c r="M33" s="286">
        <f>IF(AF$15&lt;$T$20,HLOOKUP(AF$16,$E$5:$Q$17,$W33,FALSE),$Q17)</f>
        <v>0.31</v>
      </c>
      <c r="N33" s="282"/>
      <c r="O33" s="286">
        <f>IF(AH$15&lt;$T$20,HLOOKUP(AH$16,$E$5:$Q$17,$W33,FALSE),$Q17)</f>
        <v>0.31</v>
      </c>
      <c r="P33" s="282"/>
      <c r="Q33" s="286">
        <f>IF(AJ$15&lt;$T$20,HLOOKUP(AJ$16,$E$5:$Q$17,$W33,FALSE),$Q17)</f>
        <v>0.31</v>
      </c>
      <c r="W33" s="78">
        <v>13</v>
      </c>
    </row>
    <row r="34" spans="2:17" ht="15.75">
      <c r="B34" s="81" t="s">
        <v>1</v>
      </c>
      <c r="Q34" s="260"/>
    </row>
    <row r="35" spans="2:5" ht="15.75">
      <c r="B35" s="208" t="s">
        <v>65</v>
      </c>
      <c r="E35" s="146"/>
    </row>
    <row r="36" spans="3:13" ht="15.75">
      <c r="C36" s="81" t="s">
        <v>1</v>
      </c>
      <c r="D36" s="81" t="s">
        <v>1</v>
      </c>
      <c r="J36" s="219"/>
      <c r="K36" s="219"/>
      <c r="M36" s="219"/>
    </row>
    <row r="37" spans="2:17" ht="15.75">
      <c r="B37" s="208" t="s">
        <v>61</v>
      </c>
      <c r="C37" s="221" t="s">
        <v>66</v>
      </c>
      <c r="D37" s="221"/>
      <c r="E37" s="220" t="s">
        <v>7</v>
      </c>
      <c r="F37" s="222"/>
      <c r="G37" s="220" t="s">
        <v>52</v>
      </c>
      <c r="H37" s="222"/>
      <c r="I37" s="220" t="s">
        <v>54</v>
      </c>
      <c r="K37" s="220" t="s">
        <v>56</v>
      </c>
      <c r="M37" s="220" t="s">
        <v>58</v>
      </c>
      <c r="O37" s="220" t="s">
        <v>67</v>
      </c>
      <c r="Q37" s="220" t="s">
        <v>68</v>
      </c>
    </row>
    <row r="38" spans="2:17" ht="15.75">
      <c r="B38" s="81" t="s">
        <v>22</v>
      </c>
      <c r="C38" s="288">
        <f>IF(MONTH($E$2)&lt;7,182-($E$2-DATE(YEAR($E$2),1,1)+1),548-($E$2-DATE(YEAR($E$2),1,1)+1))</f>
        <v>365</v>
      </c>
      <c r="D38" s="288">
        <f aca="true" t="shared" si="8" ref="D38:D43">365-C38</f>
        <v>0</v>
      </c>
      <c r="E38" s="287">
        <f>((E25*$C38)+(G25*$D38))/365</f>
        <v>0.326</v>
      </c>
      <c r="F38" s="287"/>
      <c r="G38" s="287">
        <f aca="true" t="shared" si="9" ref="G38:G43">((G25*$C38)+(I25*$D38))/365</f>
        <v>0.29100000000000004</v>
      </c>
      <c r="H38" s="287"/>
      <c r="I38" s="287">
        <f aca="true" t="shared" si="10" ref="I38:I43">((I25*$C38)+(K25*$D38))/365</f>
        <v>0.278</v>
      </c>
      <c r="J38" s="287"/>
      <c r="K38" s="287">
        <f aca="true" t="shared" si="11" ref="K38:K43">((K25*$C38)+(M25*$D38))/365</f>
        <v>0.299</v>
      </c>
      <c r="L38" s="284"/>
      <c r="M38" s="287">
        <f aca="true" t="shared" si="12" ref="M38:M43">((M25*$C38)+(O25*$D38))/365</f>
        <v>0.311</v>
      </c>
      <c r="N38" s="284"/>
      <c r="O38" s="287">
        <f aca="true" t="shared" si="13" ref="O38:O43">((O25*$C38)+(Q25*$D38))/365</f>
        <v>0.314</v>
      </c>
      <c r="P38" s="227"/>
      <c r="Q38" s="287">
        <f aca="true" t="shared" si="14" ref="Q38:Q43">((Q25*$C38)+((Q25+0.005)*$D38))/365</f>
        <v>0.318</v>
      </c>
    </row>
    <row r="39" spans="2:17" ht="15.75">
      <c r="B39" s="81" t="s">
        <v>86</v>
      </c>
      <c r="C39" s="288">
        <f>$C$38</f>
        <v>365</v>
      </c>
      <c r="D39" s="288">
        <f t="shared" si="8"/>
        <v>0</v>
      </c>
      <c r="E39" s="287">
        <f>((E26*C39)+(G26*D39))/365</f>
        <v>0.315</v>
      </c>
      <c r="F39" s="287"/>
      <c r="G39" s="287">
        <f t="shared" si="9"/>
        <v>0.312</v>
      </c>
      <c r="H39" s="287"/>
      <c r="I39" s="287">
        <f t="shared" si="10"/>
        <v>0.382</v>
      </c>
      <c r="J39" s="287"/>
      <c r="K39" s="287">
        <f t="shared" si="11"/>
        <v>0.395</v>
      </c>
      <c r="L39" s="284"/>
      <c r="M39" s="287">
        <f t="shared" si="12"/>
        <v>0.37100000000000005</v>
      </c>
      <c r="N39" s="284"/>
      <c r="O39" s="287">
        <f t="shared" si="13"/>
        <v>0.37300000000000005</v>
      </c>
      <c r="P39" s="227"/>
      <c r="Q39" s="287">
        <f t="shared" si="14"/>
        <v>0.374</v>
      </c>
    </row>
    <row r="40" spans="2:17" ht="15.75">
      <c r="B40" s="81" t="s">
        <v>215</v>
      </c>
      <c r="C40" s="288">
        <f>$C$38</f>
        <v>365</v>
      </c>
      <c r="D40" s="288">
        <f t="shared" si="8"/>
        <v>0</v>
      </c>
      <c r="E40" s="287">
        <f>((E27*C40)+(G27*D40))/365</f>
        <v>0.3539999999999999</v>
      </c>
      <c r="F40" s="287"/>
      <c r="G40" s="287">
        <f t="shared" si="9"/>
        <v>0.371</v>
      </c>
      <c r="H40" s="287"/>
      <c r="I40" s="287">
        <f t="shared" si="10"/>
        <v>0.454</v>
      </c>
      <c r="J40" s="287"/>
      <c r="K40" s="287">
        <f t="shared" si="11"/>
        <v>0.45200000000000007</v>
      </c>
      <c r="L40" s="284"/>
      <c r="M40" s="287">
        <f t="shared" si="12"/>
        <v>0.43900000000000006</v>
      </c>
      <c r="N40" s="284"/>
      <c r="O40" s="287">
        <f t="shared" si="13"/>
        <v>0.44899999999999995</v>
      </c>
      <c r="P40" s="227"/>
      <c r="Q40" s="287">
        <f t="shared" si="14"/>
        <v>0.46</v>
      </c>
    </row>
    <row r="41" spans="2:17" ht="15.75">
      <c r="B41" s="81" t="s">
        <v>63</v>
      </c>
      <c r="C41" s="288">
        <f>$C$38</f>
        <v>365</v>
      </c>
      <c r="D41" s="288">
        <f t="shared" si="8"/>
        <v>0</v>
      </c>
      <c r="E41" s="287">
        <f>((E28*C41)+(G28*D41))/365</f>
        <v>0.361</v>
      </c>
      <c r="F41" s="287"/>
      <c r="G41" s="287">
        <f t="shared" si="9"/>
        <v>0.372</v>
      </c>
      <c r="H41" s="287"/>
      <c r="I41" s="287">
        <f t="shared" si="10"/>
        <v>0.34900000000000003</v>
      </c>
      <c r="J41" s="287"/>
      <c r="K41" s="287">
        <f t="shared" si="11"/>
        <v>0.363</v>
      </c>
      <c r="L41" s="284"/>
      <c r="M41" s="287">
        <f t="shared" si="12"/>
        <v>0.40700000000000003</v>
      </c>
      <c r="N41" s="284"/>
      <c r="O41" s="287">
        <f t="shared" si="13"/>
        <v>0.4090000000000001</v>
      </c>
      <c r="P41" s="227"/>
      <c r="Q41" s="287">
        <f t="shared" si="14"/>
        <v>0.41000000000000003</v>
      </c>
    </row>
    <row r="42" spans="2:17" ht="15.75">
      <c r="B42" s="81" t="s">
        <v>64</v>
      </c>
      <c r="C42" s="288">
        <f>$C$38</f>
        <v>365</v>
      </c>
      <c r="D42" s="288">
        <f t="shared" si="8"/>
        <v>0</v>
      </c>
      <c r="E42" s="287">
        <f>((E29*C42)+(G29*D42))/365</f>
        <v>0.071</v>
      </c>
      <c r="F42" s="287"/>
      <c r="G42" s="287">
        <f t="shared" si="9"/>
        <v>0.072</v>
      </c>
      <c r="H42" s="287"/>
      <c r="I42" s="287">
        <f t="shared" si="10"/>
        <v>0.073</v>
      </c>
      <c r="J42" s="287"/>
      <c r="K42" s="287">
        <f t="shared" si="11"/>
        <v>0.076</v>
      </c>
      <c r="L42" s="284"/>
      <c r="M42" s="287">
        <f t="shared" si="12"/>
        <v>0.075</v>
      </c>
      <c r="N42" s="284"/>
      <c r="O42" s="287">
        <f t="shared" si="13"/>
        <v>0.075</v>
      </c>
      <c r="P42" s="227"/>
      <c r="Q42" s="287">
        <f t="shared" si="14"/>
        <v>0.075</v>
      </c>
    </row>
    <row r="43" spans="2:17" ht="15.75">
      <c r="B43" s="81" t="s">
        <v>89</v>
      </c>
      <c r="C43" s="288">
        <f>$C$38</f>
        <v>365</v>
      </c>
      <c r="D43" s="288">
        <f t="shared" si="8"/>
        <v>0</v>
      </c>
      <c r="E43" s="287">
        <f>((E30*C43)+(G30*D43))/365</f>
        <v>0.206</v>
      </c>
      <c r="F43" s="287"/>
      <c r="G43" s="287">
        <f t="shared" si="9"/>
        <v>0.19300000000000003</v>
      </c>
      <c r="H43" s="287"/>
      <c r="I43" s="287">
        <f t="shared" si="10"/>
        <v>0.183</v>
      </c>
      <c r="J43" s="287"/>
      <c r="K43" s="287">
        <f t="shared" si="11"/>
        <v>0.184</v>
      </c>
      <c r="L43" s="284"/>
      <c r="M43" s="287">
        <f t="shared" si="12"/>
        <v>0.2</v>
      </c>
      <c r="N43" s="284"/>
      <c r="O43" s="287">
        <f t="shared" si="13"/>
        <v>0.201</v>
      </c>
      <c r="P43" s="227"/>
      <c r="Q43" s="287">
        <f t="shared" si="14"/>
        <v>0.201</v>
      </c>
    </row>
    <row r="44" spans="2:17" ht="15.75">
      <c r="B44" s="81" t="s">
        <v>239</v>
      </c>
      <c r="C44" s="288">
        <f>IF($E$2-DATE(YEAR($E$2),1,1)+1&gt;243,499-($E$2-DATE(YEAR($E$2),1,1)+1),IF($E$2-DATE(YEAR($E$2),1,1)+1&gt;181,255,IF($E$2-DATE(YEAR($E$2),1,1)+1&gt;133,0,134-($E$2-DATE(YEAR($E$2),1,1)+1))))</f>
        <v>255</v>
      </c>
      <c r="D44" s="288">
        <f>255-C44</f>
        <v>0</v>
      </c>
      <c r="E44" s="287">
        <f>((E25*$C44)+(G25*$D44))/255</f>
        <v>0.326</v>
      </c>
      <c r="F44" s="287"/>
      <c r="G44" s="287">
        <f>((G25*$C44)+(I25*$D44))/255</f>
        <v>0.29100000000000004</v>
      </c>
      <c r="H44" s="287"/>
      <c r="I44" s="287">
        <f>((I25*$C44)+(K25*$D44))/255</f>
        <v>0.278</v>
      </c>
      <c r="J44" s="287"/>
      <c r="K44" s="287">
        <f>((K25*$C44)+(M25*$D44))/255</f>
        <v>0.299</v>
      </c>
      <c r="L44" s="284"/>
      <c r="M44" s="287">
        <f>((M25*$C44)+(O25*$D44))/255</f>
        <v>0.311</v>
      </c>
      <c r="N44" s="284"/>
      <c r="O44" s="287">
        <f>((O25*$C44)+(Q25*$D44))/255</f>
        <v>0.314</v>
      </c>
      <c r="P44" s="227"/>
      <c r="Q44" s="287">
        <f>((Q25*$C44)+((Q25+0.005)*$D44))/255</f>
        <v>0.318</v>
      </c>
    </row>
    <row r="45" spans="2:17" ht="15.75">
      <c r="B45" s="81" t="s">
        <v>240</v>
      </c>
      <c r="C45" s="288">
        <f>IF($E$2-DATE(YEAR($E$2),1,1)+1&gt;243,48,IF($E$2-DATE(YEAR($E$2),1,1)+1&gt;181,293-($E$2-DATE(YEAR($E$2),1,1)+1),IF($E$2-DATE(YEAR($E$2),1,1)+1&gt;133,182-($E$2-DATE(YEAR($E$2),1,1)+1),48)))</f>
        <v>110</v>
      </c>
      <c r="D45" s="288">
        <f>110-C45</f>
        <v>0</v>
      </c>
      <c r="E45" s="287">
        <f>((E25*$C45)+(G25*$D45))/110</f>
        <v>0.326</v>
      </c>
      <c r="F45" s="287"/>
      <c r="G45" s="287">
        <f>((G25*$C45)+(I25*$D45))/110</f>
        <v>0.29100000000000004</v>
      </c>
      <c r="H45" s="287"/>
      <c r="I45" s="287">
        <f>((I25*$C45)+(K25*$D45))/110</f>
        <v>0.278</v>
      </c>
      <c r="J45" s="287"/>
      <c r="K45" s="287">
        <f>((K25*$C45)+(M25*$D45))/110</f>
        <v>0.299</v>
      </c>
      <c r="L45" s="284"/>
      <c r="M45" s="287">
        <f>((M25*$C45)+(O25*$D45))/110</f>
        <v>0.311</v>
      </c>
      <c r="N45" s="284"/>
      <c r="O45" s="287">
        <f>((O25*$C45)+(Q25*$D45))/110</f>
        <v>0.314</v>
      </c>
      <c r="P45" s="227"/>
      <c r="Q45" s="287">
        <f>((Q25*$C45)+((Q25+0.005)*$D45))/110</f>
        <v>0.31800000000000006</v>
      </c>
    </row>
    <row r="46" spans="3:17" ht="15.75">
      <c r="C46" s="227"/>
      <c r="D46" s="227"/>
      <c r="J46" s="82"/>
      <c r="Q46" s="83" t="s">
        <v>1</v>
      </c>
    </row>
    <row r="47" spans="2:22" ht="15.75">
      <c r="B47" s="208" t="s">
        <v>189</v>
      </c>
      <c r="C47" s="227"/>
      <c r="D47" s="227"/>
      <c r="E47" s="205"/>
      <c r="F47" s="205"/>
      <c r="G47" s="205"/>
      <c r="H47" s="205"/>
      <c r="I47" s="205"/>
      <c r="J47" s="205"/>
      <c r="K47" s="205"/>
      <c r="L47" s="205"/>
      <c r="M47" s="205"/>
      <c r="N47" s="205"/>
      <c r="O47" s="205"/>
      <c r="P47" s="205"/>
      <c r="Q47" s="209" t="s">
        <v>1</v>
      </c>
      <c r="R47" s="205"/>
      <c r="S47" s="205"/>
      <c r="T47" s="205"/>
      <c r="U47" s="205"/>
      <c r="V47" s="205"/>
    </row>
    <row r="48" spans="2:22" ht="15.75">
      <c r="B48" s="210" t="s">
        <v>190</v>
      </c>
      <c r="C48" s="288">
        <f>$C$38</f>
        <v>365</v>
      </c>
      <c r="D48" s="288">
        <f>365-C48</f>
        <v>0</v>
      </c>
      <c r="E48" s="287">
        <f>((E31*$C48)+(G31*$D48))/365</f>
        <v>0.605</v>
      </c>
      <c r="F48" s="287"/>
      <c r="G48" s="287">
        <f>((G31*$C48)+(I31*$D48))/365</f>
        <v>0.62</v>
      </c>
      <c r="H48" s="287"/>
      <c r="I48" s="287">
        <f>((I31*$C48)+(K31*$D48))/365</f>
        <v>0.62</v>
      </c>
      <c r="J48" s="284"/>
      <c r="K48" s="287">
        <f>((K31*$C48)+(M31*$D48))/365</f>
        <v>0.62</v>
      </c>
      <c r="L48" s="284"/>
      <c r="M48" s="287">
        <f>((M31*$C48)+(O31*$D48))/365</f>
        <v>0.62</v>
      </c>
      <c r="N48" s="284"/>
      <c r="O48" s="287">
        <f>((O31*$C48)+(Q31*$D48))/365</f>
        <v>0.62</v>
      </c>
      <c r="P48" s="284"/>
      <c r="Q48" s="287">
        <f>+O48</f>
        <v>0.62</v>
      </c>
      <c r="R48" s="205"/>
      <c r="S48" s="205"/>
      <c r="T48" s="205"/>
      <c r="U48" s="205"/>
      <c r="V48" s="205"/>
    </row>
    <row r="49" spans="2:22" ht="15.75">
      <c r="B49" s="210" t="s">
        <v>191</v>
      </c>
      <c r="C49" s="288">
        <f>$C$38</f>
        <v>365</v>
      </c>
      <c r="D49" s="288">
        <f>365-C49</f>
        <v>0</v>
      </c>
      <c r="E49" s="287">
        <f>((E32*$C49)+(G32*$D49))/365</f>
        <v>0.57</v>
      </c>
      <c r="F49" s="287"/>
      <c r="G49" s="287">
        <f>((G32*$C49)+(I32*$D49))/365</f>
        <v>0.57</v>
      </c>
      <c r="H49" s="287"/>
      <c r="I49" s="287">
        <f>((I32*$C49)+(K32*$D49))/365</f>
        <v>0.57</v>
      </c>
      <c r="J49" s="284"/>
      <c r="K49" s="287">
        <f>((K32*$C49)+(M32*$D49))/365</f>
        <v>0.57</v>
      </c>
      <c r="L49" s="284"/>
      <c r="M49" s="287">
        <f>((M32*$C49)+(O32*$D49))/365</f>
        <v>0.57</v>
      </c>
      <c r="N49" s="284"/>
      <c r="O49" s="287">
        <f>((O32*$C49)+(Q32*$D49))/365</f>
        <v>0.57</v>
      </c>
      <c r="P49" s="284"/>
      <c r="Q49" s="287">
        <f>+O49</f>
        <v>0.57</v>
      </c>
      <c r="R49" s="205"/>
      <c r="S49" s="205"/>
      <c r="T49" s="205"/>
      <c r="U49" s="205"/>
      <c r="V49" s="205"/>
    </row>
    <row r="50" spans="2:22" ht="15.75">
      <c r="B50" s="210" t="s">
        <v>192</v>
      </c>
      <c r="C50" s="288">
        <f>$C$38</f>
        <v>365</v>
      </c>
      <c r="D50" s="288">
        <f>365-C50</f>
        <v>0</v>
      </c>
      <c r="E50" s="287">
        <f>((E33*$C50)+(G33*$D50))/365</f>
        <v>0.3</v>
      </c>
      <c r="F50" s="287"/>
      <c r="G50" s="287">
        <f>((G33*$C50)+(I33*$D50))/365</f>
        <v>0.31</v>
      </c>
      <c r="H50" s="287"/>
      <c r="I50" s="287">
        <f>((I33*$C50)+(K33*$D50))/365</f>
        <v>0.31</v>
      </c>
      <c r="J50" s="284"/>
      <c r="K50" s="287">
        <f>((K33*$C50)+(M33*$D50))/365</f>
        <v>0.31</v>
      </c>
      <c r="L50" s="284"/>
      <c r="M50" s="287">
        <f>((M33*$C50)+(O33*$D50))/365</f>
        <v>0.31</v>
      </c>
      <c r="N50" s="284"/>
      <c r="O50" s="287">
        <f>((O33*$C50)+(Q33*$D50))/365</f>
        <v>0.31</v>
      </c>
      <c r="P50" s="284"/>
      <c r="Q50" s="287">
        <f>+O50</f>
        <v>0.31</v>
      </c>
      <c r="R50" s="205"/>
      <c r="S50" s="205"/>
      <c r="T50" s="205"/>
      <c r="U50" s="205"/>
      <c r="V50" s="205"/>
    </row>
    <row r="51" spans="3:17" ht="15.75">
      <c r="C51" s="227"/>
      <c r="D51" s="227"/>
      <c r="E51" s="284"/>
      <c r="F51" s="284"/>
      <c r="G51" s="284"/>
      <c r="H51" s="284"/>
      <c r="I51" s="284"/>
      <c r="J51" s="284"/>
      <c r="K51" s="289" t="s">
        <v>1</v>
      </c>
      <c r="L51" s="284"/>
      <c r="M51" s="289" t="s">
        <v>1</v>
      </c>
      <c r="N51" s="284"/>
      <c r="O51" s="289" t="s">
        <v>1</v>
      </c>
      <c r="P51" s="284"/>
      <c r="Q51" s="289" t="s">
        <v>1</v>
      </c>
    </row>
    <row r="52" spans="2:17" ht="15.75">
      <c r="B52" s="208" t="s">
        <v>193</v>
      </c>
      <c r="C52" s="227"/>
      <c r="D52" s="227"/>
      <c r="E52" s="284"/>
      <c r="F52" s="284"/>
      <c r="G52" s="284"/>
      <c r="H52" s="284"/>
      <c r="I52" s="284"/>
      <c r="J52" s="284"/>
      <c r="K52" s="289" t="s">
        <v>1</v>
      </c>
      <c r="L52" s="284"/>
      <c r="M52" s="289" t="s">
        <v>1</v>
      </c>
      <c r="N52" s="284"/>
      <c r="O52" s="289" t="s">
        <v>1</v>
      </c>
      <c r="P52" s="284"/>
      <c r="Q52" s="289" t="s">
        <v>1</v>
      </c>
    </row>
    <row r="53" spans="2:17" ht="15.75">
      <c r="B53" s="81" t="s">
        <v>190</v>
      </c>
      <c r="C53" s="288">
        <f>$C$38</f>
        <v>365</v>
      </c>
      <c r="D53" s="288">
        <f>365-C53</f>
        <v>0</v>
      </c>
      <c r="E53" s="287">
        <v>0.26</v>
      </c>
      <c r="F53" s="287"/>
      <c r="G53" s="287">
        <v>0.26</v>
      </c>
      <c r="H53" s="287"/>
      <c r="I53" s="287">
        <v>0.26</v>
      </c>
      <c r="J53" s="284"/>
      <c r="K53" s="287">
        <v>0.26</v>
      </c>
      <c r="L53" s="284"/>
      <c r="M53" s="287">
        <v>0.26</v>
      </c>
      <c r="N53" s="284"/>
      <c r="O53" s="287">
        <v>0.26</v>
      </c>
      <c r="P53" s="284"/>
      <c r="Q53" s="287">
        <v>0.26</v>
      </c>
    </row>
    <row r="54" spans="2:17" ht="15.75">
      <c r="B54" s="81" t="s">
        <v>191</v>
      </c>
      <c r="C54" s="288">
        <f>$C$38</f>
        <v>365</v>
      </c>
      <c r="D54" s="288">
        <f>365-C54</f>
        <v>0</v>
      </c>
      <c r="E54" s="287">
        <v>0.26</v>
      </c>
      <c r="F54" s="287"/>
      <c r="G54" s="287">
        <v>0.26</v>
      </c>
      <c r="H54" s="287"/>
      <c r="I54" s="287">
        <v>0.26</v>
      </c>
      <c r="J54" s="284"/>
      <c r="K54" s="287">
        <v>0.26</v>
      </c>
      <c r="L54" s="284"/>
      <c r="M54" s="287">
        <v>0.26</v>
      </c>
      <c r="N54" s="284"/>
      <c r="O54" s="287">
        <v>0.26</v>
      </c>
      <c r="P54" s="284"/>
      <c r="Q54" s="287">
        <v>0.26</v>
      </c>
    </row>
    <row r="55" spans="2:17" ht="15.75">
      <c r="B55" s="81" t="s">
        <v>192</v>
      </c>
      <c r="C55" s="288">
        <f>$C$38</f>
        <v>365</v>
      </c>
      <c r="D55" s="288">
        <f>365-C55</f>
        <v>0</v>
      </c>
      <c r="E55" s="287">
        <v>0.26</v>
      </c>
      <c r="F55" s="287"/>
      <c r="G55" s="287">
        <v>0.26</v>
      </c>
      <c r="H55" s="287"/>
      <c r="I55" s="287">
        <v>0.26</v>
      </c>
      <c r="J55" s="284"/>
      <c r="K55" s="287">
        <v>0.26</v>
      </c>
      <c r="L55" s="284"/>
      <c r="M55" s="287">
        <v>0.26</v>
      </c>
      <c r="N55" s="284"/>
      <c r="O55" s="287">
        <v>0.26</v>
      </c>
      <c r="P55" s="284"/>
      <c r="Q55" s="287">
        <v>0.26</v>
      </c>
    </row>
    <row r="56" spans="5:17" ht="15.75">
      <c r="E56" s="227"/>
      <c r="F56" s="227"/>
      <c r="G56" s="227"/>
      <c r="H56" s="227"/>
      <c r="I56" s="227"/>
      <c r="J56" s="227"/>
      <c r="K56" s="227"/>
      <c r="L56" s="227"/>
      <c r="M56" s="227"/>
      <c r="N56" s="227"/>
      <c r="O56" s="227"/>
      <c r="P56" s="227"/>
      <c r="Q56" s="227"/>
    </row>
    <row r="65" ht="18.75">
      <c r="N65" s="224" t="s">
        <v>278</v>
      </c>
    </row>
  </sheetData>
  <sheetProtection/>
  <mergeCells count="1">
    <mergeCell ref="X14:AJ14"/>
  </mergeCells>
  <printOptions/>
  <pageMargins left="0.5" right="0.3" top="1" bottom="0.667" header="0.5" footer="0.5"/>
  <pageSetup fitToHeight="1" fitToWidth="1" horizontalDpi="300" verticalDpi="300" orientation="portrait" scale="53" r:id="rId1"/>
</worksheet>
</file>

<file path=xl/worksheets/sheet8.xml><?xml version="1.0" encoding="utf-8"?>
<worksheet xmlns="http://schemas.openxmlformats.org/spreadsheetml/2006/main" xmlns:r="http://schemas.openxmlformats.org/officeDocument/2006/relationships">
  <dimension ref="A1:R52"/>
  <sheetViews>
    <sheetView zoomScalePageLayoutView="0" workbookViewId="0" topLeftCell="A27">
      <selection activeCell="D46" sqref="D46"/>
    </sheetView>
  </sheetViews>
  <sheetFormatPr defaultColWidth="9.00390625" defaultRowHeight="15.75"/>
  <cols>
    <col min="1" max="1" width="19.125" style="0" customWidth="1"/>
    <col min="2" max="2" width="11.25390625" style="0" customWidth="1"/>
    <col min="3" max="3" width="10.00390625" style="0" customWidth="1"/>
    <col min="4" max="4" width="10.75390625" style="0" customWidth="1"/>
    <col min="5" max="5" width="10.25390625" style="0" customWidth="1"/>
    <col min="6" max="6" width="11.00390625" style="0" customWidth="1"/>
    <col min="14" max="14" width="12.25390625" style="0" customWidth="1"/>
  </cols>
  <sheetData>
    <row r="1" ht="15.75">
      <c r="A1" s="207" t="s">
        <v>242</v>
      </c>
    </row>
    <row r="2" spans="1:11" s="31" customFormat="1" ht="15.75">
      <c r="A2" s="31" t="s">
        <v>243</v>
      </c>
      <c r="B2" s="31" t="s">
        <v>248</v>
      </c>
      <c r="C2" s="31" t="s">
        <v>254</v>
      </c>
      <c r="D2" s="31" t="s">
        <v>249</v>
      </c>
      <c r="F2" s="31" t="s">
        <v>253</v>
      </c>
      <c r="K2" s="31" t="s">
        <v>260</v>
      </c>
    </row>
    <row r="3" spans="1:4" s="207" customFormat="1" ht="15.75">
      <c r="A3" s="207" t="s">
        <v>220</v>
      </c>
      <c r="B3" s="293">
        <v>44075</v>
      </c>
      <c r="C3">
        <f aca="true" t="shared" si="0" ref="C3:C32">IF(MONTH(B3)&lt;7,YEAR(B3),YEAR(B3)+1)</f>
        <v>2021</v>
      </c>
      <c r="D3" s="291">
        <v>0</v>
      </c>
    </row>
    <row r="4" spans="1:14" ht="15.75">
      <c r="A4" s="207" t="s">
        <v>220</v>
      </c>
      <c r="B4" s="290">
        <v>44440</v>
      </c>
      <c r="C4">
        <f t="shared" si="0"/>
        <v>2022</v>
      </c>
      <c r="D4" s="291">
        <v>0.03</v>
      </c>
      <c r="E4" s="291"/>
      <c r="F4" t="s">
        <v>256</v>
      </c>
      <c r="G4" t="s">
        <v>254</v>
      </c>
      <c r="H4" t="s">
        <v>255</v>
      </c>
      <c r="K4" t="s">
        <v>261</v>
      </c>
      <c r="L4" t="s">
        <v>123</v>
      </c>
      <c r="M4" t="s">
        <v>257</v>
      </c>
      <c r="N4" t="s">
        <v>182</v>
      </c>
    </row>
    <row r="5" spans="1:14" ht="15.75">
      <c r="A5" s="207" t="s">
        <v>220</v>
      </c>
      <c r="B5" s="290">
        <v>44805</v>
      </c>
      <c r="C5">
        <f t="shared" si="0"/>
        <v>2023</v>
      </c>
      <c r="D5" s="291">
        <v>0.03</v>
      </c>
      <c r="E5" s="291"/>
      <c r="F5" t="s">
        <v>122</v>
      </c>
      <c r="G5">
        <f>IF(MONTH('RATES-Non Fed'!E2)&lt;7,YEAR('RATES-Non Fed'!E2),YEAR('RATES-Non Fed'!E2)+1)</f>
        <v>2021</v>
      </c>
      <c r="H5" s="292">
        <f>'RATES-Non Fed'!C38</f>
        <v>365</v>
      </c>
      <c r="K5">
        <v>1</v>
      </c>
      <c r="L5">
        <v>31</v>
      </c>
      <c r="M5">
        <v>0</v>
      </c>
      <c r="N5">
        <f aca="true" t="shared" si="1" ref="N5:N16">L5+M5</f>
        <v>31</v>
      </c>
    </row>
    <row r="6" spans="1:14" ht="15.75">
      <c r="A6" s="207" t="s">
        <v>220</v>
      </c>
      <c r="B6" s="290">
        <v>45170</v>
      </c>
      <c r="C6">
        <f t="shared" si="0"/>
        <v>2024</v>
      </c>
      <c r="D6" s="291">
        <v>0.03</v>
      </c>
      <c r="E6" s="291"/>
      <c r="F6" t="s">
        <v>122</v>
      </c>
      <c r="G6">
        <f>G5+1</f>
        <v>2022</v>
      </c>
      <c r="H6" s="292">
        <f>'RATES-Non Fed'!D38</f>
        <v>0</v>
      </c>
      <c r="K6">
        <v>2</v>
      </c>
      <c r="L6">
        <v>28</v>
      </c>
      <c r="M6">
        <v>0</v>
      </c>
      <c r="N6">
        <f t="shared" si="1"/>
        <v>28</v>
      </c>
    </row>
    <row r="7" spans="1:14" ht="15.75">
      <c r="A7" s="207" t="s">
        <v>220</v>
      </c>
      <c r="B7" s="290">
        <v>45536</v>
      </c>
      <c r="C7">
        <f t="shared" si="0"/>
        <v>2025</v>
      </c>
      <c r="D7" s="291">
        <v>0.03</v>
      </c>
      <c r="E7" s="291"/>
      <c r="F7" t="s">
        <v>123</v>
      </c>
      <c r="G7">
        <f>IF(MONTH('RATES-Non Fed'!E2)&lt;7,YEAR('RATES-Non Fed'!E2),YEAR('RATES-Non Fed'!E2)+1)</f>
        <v>2021</v>
      </c>
      <c r="H7" s="292">
        <f>'RATES-Non Fed'!C44</f>
        <v>255</v>
      </c>
      <c r="K7">
        <v>3</v>
      </c>
      <c r="L7">
        <v>31</v>
      </c>
      <c r="M7">
        <v>0</v>
      </c>
      <c r="N7">
        <f t="shared" si="1"/>
        <v>31</v>
      </c>
    </row>
    <row r="8" spans="1:14" ht="15.75">
      <c r="A8" s="207" t="s">
        <v>220</v>
      </c>
      <c r="B8" s="290">
        <v>45901</v>
      </c>
      <c r="C8">
        <f t="shared" si="0"/>
        <v>2026</v>
      </c>
      <c r="D8" s="291">
        <v>0.03</v>
      </c>
      <c r="E8" s="291"/>
      <c r="F8" t="s">
        <v>123</v>
      </c>
      <c r="G8">
        <f>G7+1</f>
        <v>2022</v>
      </c>
      <c r="H8" s="292">
        <f>'RATES-Non Fed'!D44</f>
        <v>0</v>
      </c>
      <c r="K8">
        <v>4</v>
      </c>
      <c r="L8">
        <v>30</v>
      </c>
      <c r="M8">
        <v>0</v>
      </c>
      <c r="N8">
        <f t="shared" si="1"/>
        <v>30</v>
      </c>
    </row>
    <row r="9" spans="1:14" ht="15.75">
      <c r="A9" s="207" t="s">
        <v>244</v>
      </c>
      <c r="B9" s="290">
        <v>44013</v>
      </c>
      <c r="C9">
        <f t="shared" si="0"/>
        <v>2021</v>
      </c>
      <c r="D9" s="291">
        <v>0</v>
      </c>
      <c r="E9" s="291"/>
      <c r="F9" t="s">
        <v>257</v>
      </c>
      <c r="G9">
        <f>IF(MONTH('RATES-Non Fed'!E2)&lt;7,YEAR('RATES-Non Fed'!E2),YEAR('RATES-Non Fed'!E2)+1)</f>
        <v>2021</v>
      </c>
      <c r="H9" s="292">
        <f>'RATES-Non Fed'!C45</f>
        <v>110</v>
      </c>
      <c r="K9">
        <v>5</v>
      </c>
      <c r="L9">
        <v>13</v>
      </c>
      <c r="M9">
        <v>18</v>
      </c>
      <c r="N9">
        <f t="shared" si="1"/>
        <v>31</v>
      </c>
    </row>
    <row r="10" spans="1:14" ht="15.75">
      <c r="A10" s="207" t="s">
        <v>244</v>
      </c>
      <c r="B10" s="290">
        <v>44378</v>
      </c>
      <c r="C10">
        <f t="shared" si="0"/>
        <v>2022</v>
      </c>
      <c r="D10" s="291">
        <v>0.02</v>
      </c>
      <c r="E10" s="291"/>
      <c r="F10" t="s">
        <v>257</v>
      </c>
      <c r="G10">
        <f>G9+1</f>
        <v>2022</v>
      </c>
      <c r="H10" s="292">
        <f>'RATES-Non Fed'!D45</f>
        <v>0</v>
      </c>
      <c r="K10">
        <v>6</v>
      </c>
      <c r="L10">
        <v>0</v>
      </c>
      <c r="M10">
        <v>30</v>
      </c>
      <c r="N10">
        <f t="shared" si="1"/>
        <v>30</v>
      </c>
    </row>
    <row r="11" spans="1:14" ht="15.75">
      <c r="A11" s="207" t="s">
        <v>244</v>
      </c>
      <c r="B11" s="290">
        <v>44743</v>
      </c>
      <c r="C11">
        <f t="shared" si="0"/>
        <v>2023</v>
      </c>
      <c r="D11" s="291">
        <v>0.02</v>
      </c>
      <c r="E11" s="291"/>
      <c r="F11" t="s">
        <v>271</v>
      </c>
      <c r="G11">
        <f>IF(MONTH('RATES-Non Fed'!E2)&lt;7,YEAR('RATES-Non Fed'!E2),YEAR('RATES-Non Fed'!E2)+1)</f>
        <v>2021</v>
      </c>
      <c r="H11" s="292">
        <f>'RATES-Non Fed'!C39</f>
        <v>365</v>
      </c>
      <c r="K11">
        <v>7</v>
      </c>
      <c r="L11">
        <v>0</v>
      </c>
      <c r="M11">
        <v>31</v>
      </c>
      <c r="N11">
        <f t="shared" si="1"/>
        <v>31</v>
      </c>
    </row>
    <row r="12" spans="1:14" ht="15.75">
      <c r="A12" s="207" t="s">
        <v>244</v>
      </c>
      <c r="B12" s="290">
        <v>45108</v>
      </c>
      <c r="C12">
        <f t="shared" si="0"/>
        <v>2024</v>
      </c>
      <c r="D12" s="291">
        <v>0.02</v>
      </c>
      <c r="E12" s="291"/>
      <c r="F12" t="s">
        <v>271</v>
      </c>
      <c r="G12">
        <f>G11+1</f>
        <v>2022</v>
      </c>
      <c r="H12" s="292">
        <f>'RATES-Non Fed'!D39</f>
        <v>0</v>
      </c>
      <c r="K12">
        <v>8</v>
      </c>
      <c r="L12">
        <v>0</v>
      </c>
      <c r="M12">
        <v>31</v>
      </c>
      <c r="N12">
        <f t="shared" si="1"/>
        <v>31</v>
      </c>
    </row>
    <row r="13" spans="1:14" ht="15.75">
      <c r="A13" s="207" t="s">
        <v>244</v>
      </c>
      <c r="B13" s="290">
        <v>45474</v>
      </c>
      <c r="C13">
        <f t="shared" si="0"/>
        <v>2025</v>
      </c>
      <c r="D13" s="291">
        <v>0.02</v>
      </c>
      <c r="E13" s="291"/>
      <c r="F13" t="s">
        <v>272</v>
      </c>
      <c r="G13">
        <f>IF(MONTH('RATES-Non Fed'!E2)&lt;7,YEAR('RATES-Non Fed'!E2),YEAR('RATES-Non Fed'!E2)+1)</f>
        <v>2021</v>
      </c>
      <c r="H13" s="292">
        <f>'RATES-Non Fed'!C40</f>
        <v>365</v>
      </c>
      <c r="K13">
        <v>9</v>
      </c>
      <c r="L13">
        <v>30</v>
      </c>
      <c r="M13">
        <v>0</v>
      </c>
      <c r="N13">
        <f t="shared" si="1"/>
        <v>30</v>
      </c>
    </row>
    <row r="14" spans="1:14" ht="15.75">
      <c r="A14" s="207" t="s">
        <v>244</v>
      </c>
      <c r="B14" s="290">
        <v>45839</v>
      </c>
      <c r="C14">
        <f t="shared" si="0"/>
        <v>2026</v>
      </c>
      <c r="D14" s="291">
        <v>0.02</v>
      </c>
      <c r="E14" s="291"/>
      <c r="F14" t="s">
        <v>272</v>
      </c>
      <c r="G14">
        <f>G13+1</f>
        <v>2022</v>
      </c>
      <c r="H14" s="292">
        <f>'RATES-Non Fed'!D40</f>
        <v>0</v>
      </c>
      <c r="K14">
        <v>10</v>
      </c>
      <c r="L14">
        <v>31</v>
      </c>
      <c r="M14">
        <v>0</v>
      </c>
      <c r="N14">
        <f t="shared" si="1"/>
        <v>31</v>
      </c>
    </row>
    <row r="15" spans="1:14" ht="15.75">
      <c r="A15" s="207" t="s">
        <v>245</v>
      </c>
      <c r="B15" s="290">
        <v>44013</v>
      </c>
      <c r="C15">
        <f t="shared" si="0"/>
        <v>2021</v>
      </c>
      <c r="D15" s="291">
        <v>0</v>
      </c>
      <c r="E15" s="291"/>
      <c r="K15">
        <v>11</v>
      </c>
      <c r="L15">
        <v>30</v>
      </c>
      <c r="M15">
        <v>0</v>
      </c>
      <c r="N15">
        <f t="shared" si="1"/>
        <v>30</v>
      </c>
    </row>
    <row r="16" spans="1:14" ht="15.75">
      <c r="A16" s="207" t="s">
        <v>245</v>
      </c>
      <c r="B16" s="290">
        <v>44378</v>
      </c>
      <c r="C16">
        <f t="shared" si="0"/>
        <v>2022</v>
      </c>
      <c r="D16" s="291">
        <v>0.02</v>
      </c>
      <c r="E16" s="291"/>
      <c r="K16">
        <v>12</v>
      </c>
      <c r="L16">
        <v>31</v>
      </c>
      <c r="M16">
        <v>0</v>
      </c>
      <c r="N16">
        <f t="shared" si="1"/>
        <v>31</v>
      </c>
    </row>
    <row r="17" spans="1:14" ht="15.75">
      <c r="A17" s="207" t="s">
        <v>245</v>
      </c>
      <c r="B17" s="290">
        <v>44743</v>
      </c>
      <c r="C17">
        <f t="shared" si="0"/>
        <v>2023</v>
      </c>
      <c r="D17" s="291">
        <v>0.02</v>
      </c>
      <c r="E17" s="291"/>
      <c r="K17" t="s">
        <v>182</v>
      </c>
      <c r="L17">
        <f>SUM(L5:L16)</f>
        <v>255</v>
      </c>
      <c r="M17">
        <f>SUM(M5:M16)</f>
        <v>110</v>
      </c>
      <c r="N17">
        <f>SUM(N5:N16)</f>
        <v>365</v>
      </c>
    </row>
    <row r="18" spans="1:5" ht="15.75">
      <c r="A18" s="207" t="s">
        <v>245</v>
      </c>
      <c r="B18" s="290">
        <v>45108</v>
      </c>
      <c r="C18">
        <f t="shared" si="0"/>
        <v>2024</v>
      </c>
      <c r="D18" s="291">
        <v>0.02</v>
      </c>
      <c r="E18" s="291"/>
    </row>
    <row r="19" spans="1:5" ht="15.75">
      <c r="A19" s="207" t="s">
        <v>245</v>
      </c>
      <c r="B19" s="290">
        <v>45474</v>
      </c>
      <c r="C19">
        <f t="shared" si="0"/>
        <v>2025</v>
      </c>
      <c r="D19" s="291">
        <v>0.02</v>
      </c>
      <c r="E19" s="291"/>
    </row>
    <row r="20" spans="1:5" ht="15.75">
      <c r="A20" s="207" t="s">
        <v>245</v>
      </c>
      <c r="B20" s="290">
        <v>45839</v>
      </c>
      <c r="C20">
        <f t="shared" si="0"/>
        <v>2026</v>
      </c>
      <c r="D20" s="291">
        <v>0.02</v>
      </c>
      <c r="E20" s="291"/>
    </row>
    <row r="21" spans="1:5" ht="15.75">
      <c r="A21" s="207" t="s">
        <v>246</v>
      </c>
      <c r="B21" s="290">
        <v>44013</v>
      </c>
      <c r="C21">
        <f t="shared" si="0"/>
        <v>2021</v>
      </c>
      <c r="D21" s="291">
        <v>0</v>
      </c>
      <c r="E21" s="291"/>
    </row>
    <row r="22" spans="1:5" ht="15.75">
      <c r="A22" s="207" t="s">
        <v>246</v>
      </c>
      <c r="B22" s="290">
        <v>44378</v>
      </c>
      <c r="C22">
        <f t="shared" si="0"/>
        <v>2022</v>
      </c>
      <c r="D22" s="291">
        <v>0.02</v>
      </c>
      <c r="E22" s="291"/>
    </row>
    <row r="23" spans="1:5" ht="15.75">
      <c r="A23" s="207" t="s">
        <v>246</v>
      </c>
      <c r="B23" s="290">
        <v>44743</v>
      </c>
      <c r="C23">
        <f t="shared" si="0"/>
        <v>2023</v>
      </c>
      <c r="D23" s="291">
        <v>0.02</v>
      </c>
      <c r="E23" s="291"/>
    </row>
    <row r="24" spans="1:5" ht="15.75">
      <c r="A24" s="207" t="s">
        <v>246</v>
      </c>
      <c r="B24" s="290">
        <v>45108</v>
      </c>
      <c r="C24">
        <f t="shared" si="0"/>
        <v>2024</v>
      </c>
      <c r="D24" s="291">
        <v>0.02</v>
      </c>
      <c r="E24" s="291"/>
    </row>
    <row r="25" spans="1:5" ht="15.75">
      <c r="A25" s="207" t="s">
        <v>246</v>
      </c>
      <c r="B25" s="290">
        <v>45474</v>
      </c>
      <c r="C25">
        <f t="shared" si="0"/>
        <v>2025</v>
      </c>
      <c r="D25" s="291">
        <v>0.02</v>
      </c>
      <c r="E25" s="291"/>
    </row>
    <row r="26" spans="1:5" ht="15.75">
      <c r="A26" s="207" t="s">
        <v>246</v>
      </c>
      <c r="B26" s="290">
        <v>45839</v>
      </c>
      <c r="C26">
        <f t="shared" si="0"/>
        <v>2026</v>
      </c>
      <c r="D26" s="291">
        <v>0.02</v>
      </c>
      <c r="E26" s="291"/>
    </row>
    <row r="27" spans="1:4" ht="15.75">
      <c r="A27" s="207" t="s">
        <v>247</v>
      </c>
      <c r="B27" s="290">
        <v>44013</v>
      </c>
      <c r="C27">
        <f t="shared" si="0"/>
        <v>2021</v>
      </c>
      <c r="D27" s="291">
        <v>0</v>
      </c>
    </row>
    <row r="28" spans="1:4" ht="15.75">
      <c r="A28" s="207" t="s">
        <v>247</v>
      </c>
      <c r="B28" s="290">
        <v>44378</v>
      </c>
      <c r="C28">
        <f t="shared" si="0"/>
        <v>2022</v>
      </c>
      <c r="D28" s="291">
        <v>0.02</v>
      </c>
    </row>
    <row r="29" spans="1:4" ht="15.75">
      <c r="A29" s="207" t="s">
        <v>247</v>
      </c>
      <c r="B29" s="290">
        <v>44743</v>
      </c>
      <c r="C29">
        <f t="shared" si="0"/>
        <v>2023</v>
      </c>
      <c r="D29" s="291">
        <v>0.02</v>
      </c>
    </row>
    <row r="30" spans="1:4" ht="15.75">
      <c r="A30" s="207" t="s">
        <v>247</v>
      </c>
      <c r="B30" s="290">
        <v>45108</v>
      </c>
      <c r="C30">
        <f t="shared" si="0"/>
        <v>2024</v>
      </c>
      <c r="D30" s="291">
        <v>0.02</v>
      </c>
    </row>
    <row r="31" spans="1:4" ht="15.75">
      <c r="A31" s="207" t="s">
        <v>247</v>
      </c>
      <c r="B31" s="290">
        <v>45474</v>
      </c>
      <c r="C31">
        <f t="shared" si="0"/>
        <v>2025</v>
      </c>
      <c r="D31" s="291">
        <v>0.02</v>
      </c>
    </row>
    <row r="32" spans="1:4" ht="15.75">
      <c r="A32" s="207" t="s">
        <v>247</v>
      </c>
      <c r="B32" s="290">
        <v>45839</v>
      </c>
      <c r="C32">
        <f t="shared" si="0"/>
        <v>2026</v>
      </c>
      <c r="D32" s="291">
        <v>0.02</v>
      </c>
    </row>
    <row r="33" ht="15.75">
      <c r="D33" s="291"/>
    </row>
    <row r="34" spans="1:6" ht="15.75">
      <c r="A34" t="s">
        <v>265</v>
      </c>
      <c r="B34" t="s">
        <v>266</v>
      </c>
      <c r="C34" t="s">
        <v>267</v>
      </c>
      <c r="D34" t="s">
        <v>268</v>
      </c>
      <c r="E34" t="s">
        <v>269</v>
      </c>
      <c r="F34" t="s">
        <v>270</v>
      </c>
    </row>
    <row r="35" spans="1:6" ht="15.75">
      <c r="A35" t="s">
        <v>252</v>
      </c>
      <c r="B35" s="294">
        <f>N46+N47</f>
        <v>0</v>
      </c>
      <c r="C35" s="294">
        <f>IF(ISNA((VLOOKUP((G5+1),$C$3:$D$8,2,FALSE)*H11+VLOOKUP((G6+1),$C$3:$D$8,2,FALSE)*H12)/365),0.03,(VLOOKUP((G5+1),$C$3:$D$8,2,FALSE)*H11+VLOOKUP((G6+1),$C$3:$D$8,2,FALSE)*H12)/365)</f>
        <v>0.03</v>
      </c>
      <c r="D35" s="296">
        <f>IF(ISNA((VLOOKUP((G5+2),$C$3:$D$8,2,FALSE)*H11+VLOOKUP((G6+2),$C$3:$D$8,2,FALSE)*H12)/365),C35,(VLOOKUP((G5+2),$C$3:$D$8,2,FALSE)*H11+VLOOKUP((G6+2),$C$3:$D$8,2,FALSE)*H12)/365)</f>
        <v>0.03</v>
      </c>
      <c r="E35" s="294">
        <f aca="true" t="shared" si="2" ref="E35:F39">D35</f>
        <v>0.03</v>
      </c>
      <c r="F35" s="294">
        <f t="shared" si="2"/>
        <v>0.03</v>
      </c>
    </row>
    <row r="36" spans="1:6" ht="15.75">
      <c r="A36" t="s">
        <v>250</v>
      </c>
      <c r="B36" s="297">
        <f>N46</f>
        <v>0</v>
      </c>
      <c r="C36" s="294">
        <f>IF(ISNA((VLOOKUP((G7+1),$C$3:$D$8,2,FALSE)*H12+VLOOKUP((G8+1),$C$3:$D$8,2,FALSE)*H13)/365),0.03,(VLOOKUP((G7+1),$C$3:$D$8,2,FALSE)*H12+VLOOKUP((G8+1),$C$3:$D$8,2,FALSE)*H13)/365)</f>
        <v>0.03</v>
      </c>
      <c r="D36" s="296">
        <f>IF(ISNA((VLOOKUP((G7+2),$C$3:$D$8,2,FALSE)*H12+VLOOKUP((G8+2),$C$3:$D$8,2,FALSE)*H13)/365),C36,(VLOOKUP((G7+2),$C$3:$D$8,2,FALSE)*H12+VLOOKUP((G8+2),$C$3:$D$8,2,FALSE)*H13)/365)</f>
        <v>0.03</v>
      </c>
      <c r="E36" s="294">
        <f t="shared" si="2"/>
        <v>0.03</v>
      </c>
      <c r="F36" s="294">
        <f t="shared" si="2"/>
        <v>0.03</v>
      </c>
    </row>
    <row r="37" spans="1:6" ht="15.75">
      <c r="A37" t="s">
        <v>251</v>
      </c>
      <c r="B37" s="297">
        <f>N47</f>
        <v>0</v>
      </c>
      <c r="C37" s="294">
        <f>IF(ISNA((VLOOKUP((G9+1),$C$3:$D$8,2,FALSE)*H13+VLOOKUP((G10+1),$C$3:$D$8,2,FALSE)*H14)/365),0.03,(VLOOKUP((G9+1),$C$3:$D$8,2,FALSE)*H13+VLOOKUP((G10+1),$C$3:$D$8,2,FALSE)*H14)/365)</f>
        <v>0.03</v>
      </c>
      <c r="D37" s="296">
        <f>IF(ISNA((VLOOKUP((G9+2),$C$3:$D$8,2,FALSE)*H13+VLOOKUP((G10+2),$C$3:$D$8,2,FALSE)*H14)/365),C37,(VLOOKUP((G9+2),$C$3:$D$8,2,FALSE)*H13+VLOOKUP((G10+2),$C$3:$D$8,2,FALSE)*H14)/365)</f>
        <v>0.03</v>
      </c>
      <c r="E37" s="294">
        <f t="shared" si="2"/>
        <v>0.03</v>
      </c>
      <c r="F37" s="294">
        <f t="shared" si="2"/>
        <v>0.03</v>
      </c>
    </row>
    <row r="38" spans="1:6" ht="15.75">
      <c r="A38" t="s">
        <v>275</v>
      </c>
      <c r="B38" s="294">
        <f>IF(ISNA((VLOOKUP(G11,$C$15:$D$20,2,FALSE)*H11+VLOOKUP(G12,$C$15:$D$20,2,FALSE)*H12)/365),0,(VLOOKUP(G11,$C$15:$D$20,2,FALSE)*H11+VLOOKUP(G12,$C$15:$D$20,2,FALSE)*H12)/365)</f>
        <v>0</v>
      </c>
      <c r="C38" s="294">
        <f>IF(ISNA((VLOOKUP(G11+1,$C$15:$D$20,2,FALSE)*H11+VLOOKUP(G12+1,$C$15:$D$20,2,FALSE)*H12)/365),0.02,(VLOOKUP(G11+1,$C$15:$D$20,2,FALSE)*H11+VLOOKUP(G12+1,$C$15:$D$20,2,FALSE)*H12)/365)</f>
        <v>0.02</v>
      </c>
      <c r="D38" s="294">
        <f>IF(ISNA((VLOOKUP(G11+2,$C$15:$D$20,2,FALSE)*H11+VLOOKUP(G12+2,$C$15:$D$20,2,FALSE)*H12)/365),C38,(VLOOKUP((G9+2),$C$3:$D$8,2,FALSE)*H13+VLOOKUP((G10+2),$C$3:$D$8,2,FALSE)*H14)/365)</f>
        <v>0.03</v>
      </c>
      <c r="E38" s="294">
        <f t="shared" si="2"/>
        <v>0.03</v>
      </c>
      <c r="F38" s="294">
        <f t="shared" si="2"/>
        <v>0.03</v>
      </c>
    </row>
    <row r="39" spans="1:6" ht="15.75">
      <c r="A39" t="s">
        <v>273</v>
      </c>
      <c r="B39" s="294">
        <f>IF(ISNA((VLOOKUP(G13,$C$21:$D$26,2,FALSE)*H13+VLOOKUP(G14,$C$21:$D$26,2,FALSE)*H14)/365),0,(VLOOKUP(G13,$C$21:$D$26,2,FALSE)*H13+VLOOKUP(G14,$C$21:$D$26,2,FALSE)*H14)/365)</f>
        <v>0</v>
      </c>
      <c r="C39" s="294">
        <f>IF(ISNA((VLOOKUP((G13+1),$C$21:$D$26,2,FALSE)*H11+VLOOKUP((G14+1),$C$21:$D$26,2,FALSE)*H12)/365),0.02,(VLOOKUP((G13+1),$C$21:$D$26,2,FALSE)*H11+VLOOKUP((G14+1),$C$21:$D$26,2,FALSE)*H12)/365)</f>
        <v>0.02</v>
      </c>
      <c r="D39" s="294">
        <f>IF(ISNA((VLOOKUP((G13+2),$C$21:$D$26,2,FALSE)*H11+VLOOKUP((G14+2),$C$21:$D$26,2,FALSE)*H12)/365),C39,(VLOOKUP((G9+2),$C$3:$D$8,2,FALSE)*H13+VLOOKUP((G10+2),$C$3:$D$8,2,FALSE)*H14)/365)</f>
        <v>0.03</v>
      </c>
      <c r="E39" s="294">
        <f t="shared" si="2"/>
        <v>0.03</v>
      </c>
      <c r="F39" s="294">
        <f t="shared" si="2"/>
        <v>0.03</v>
      </c>
    </row>
    <row r="43" ht="15.75">
      <c r="A43" t="s">
        <v>262</v>
      </c>
    </row>
    <row r="44" spans="1:18" ht="15.75">
      <c r="A44" s="207" t="s">
        <v>274</v>
      </c>
      <c r="B44" s="290">
        <f>DATE(YEAR('RATES-Non Fed'!$E$2),MONTH('RATES-Non Fed'!$E$2),1)</f>
        <v>44013</v>
      </c>
      <c r="C44" s="290">
        <f aca="true" t="shared" si="3" ref="C44:M44">IF(MONTH(B44)=12,DATE(YEAR(B44)+1,1,1),DATE(YEAR(B44),MONTH(B44)+1,1))</f>
        <v>44044</v>
      </c>
      <c r="D44" s="290">
        <f t="shared" si="3"/>
        <v>44075</v>
      </c>
      <c r="E44" s="290">
        <f>IF(MONTH(D44)=12,DATE(YEAR(D44)+1,1,1),DATE(YEAR(D44),MONTH(D44)+1,1))</f>
        <v>44105</v>
      </c>
      <c r="F44" s="290">
        <f>IF(MONTH(E44)=12,DATE(YEAR(E44)+1,1,1),DATE(YEAR(E44),MONTH(E44)+1,1))</f>
        <v>44136</v>
      </c>
      <c r="G44" s="290">
        <f t="shared" si="3"/>
        <v>44166</v>
      </c>
      <c r="H44" s="290">
        <f t="shared" si="3"/>
        <v>44197</v>
      </c>
      <c r="I44" s="290">
        <f>IF(MONTH(H44)=12,DATE(YEAR(H44)+1,1,1),DATE(YEAR(H44),MONTH(H44)+1,1))</f>
        <v>44228</v>
      </c>
      <c r="J44" s="290">
        <f t="shared" si="3"/>
        <v>44256</v>
      </c>
      <c r="K44" s="290">
        <f>IF(MONTH(J44)=12,DATE(YEAR(J44)+1,1,1),DATE(YEAR(J44),MONTH(J44)+1,1))</f>
        <v>44287</v>
      </c>
      <c r="L44" s="290">
        <f t="shared" si="3"/>
        <v>44317</v>
      </c>
      <c r="M44" s="290">
        <f t="shared" si="3"/>
        <v>44348</v>
      </c>
      <c r="N44" s="290"/>
      <c r="O44" s="290"/>
      <c r="P44" s="290"/>
      <c r="Q44" s="290"/>
      <c r="R44" s="290"/>
    </row>
    <row r="45" spans="1:15" ht="15.75">
      <c r="A45" t="s">
        <v>254</v>
      </c>
      <c r="B45" s="295">
        <f aca="true" t="shared" si="4" ref="B45:M45">IF(MONTH(B44)&gt;6,YEAR(B44)+1,YEAR(B44))</f>
        <v>2021</v>
      </c>
      <c r="C45" s="295">
        <f t="shared" si="4"/>
        <v>2021</v>
      </c>
      <c r="D45" s="295">
        <f t="shared" si="4"/>
        <v>2021</v>
      </c>
      <c r="E45" s="295">
        <f t="shared" si="4"/>
        <v>2021</v>
      </c>
      <c r="F45" s="295">
        <f t="shared" si="4"/>
        <v>2021</v>
      </c>
      <c r="G45" s="295">
        <f t="shared" si="4"/>
        <v>2021</v>
      </c>
      <c r="H45" s="295">
        <f t="shared" si="4"/>
        <v>2021</v>
      </c>
      <c r="I45" s="295">
        <f t="shared" si="4"/>
        <v>2021</v>
      </c>
      <c r="J45" s="295">
        <f t="shared" si="4"/>
        <v>2021</v>
      </c>
      <c r="K45" s="295">
        <f t="shared" si="4"/>
        <v>2021</v>
      </c>
      <c r="L45" s="295">
        <f t="shared" si="4"/>
        <v>2021</v>
      </c>
      <c r="M45" s="295">
        <f t="shared" si="4"/>
        <v>2021</v>
      </c>
      <c r="N45" t="s">
        <v>263</v>
      </c>
      <c r="O45" t="s">
        <v>264</v>
      </c>
    </row>
    <row r="46" spans="1:15" ht="15.75">
      <c r="A46" t="s">
        <v>258</v>
      </c>
      <c r="B46" s="212">
        <f>IF(ISNA(VLOOKUP(B$44,$B$3:$D$7,3,TRUE)*(VLOOKUP(B$45,$G$7:$H$8,2,FALSE)/255)*(VLOOKUP(MONTH(B$44),$K$5:$N$16,2,FALSE)/VLOOKUP(MONTH(B$44),$K$5:$N$16,4,FALSE))),0,VLOOKUP(B$44,$B$3:$D$7,3,TRUE)*(VLOOKUP(B$45,$G$7:$H$8,2,FALSE)/255)*(VLOOKUP(MONTH(B$44),$K$5:$N$16,2,FALSE)/VLOOKUP(MONTH(B$44),$K$5:$N$16,4,FALSE)))</f>
        <v>0</v>
      </c>
      <c r="C46" s="212">
        <f>IF(ISNA(VLOOKUP(C$44,$B$3:$D$7,3,TRUE)*(VLOOKUP(C$45,$G$7:$H$8,2,FALSE)/255)*(VLOOKUP(MONTH(C$44),$K$5:$N$16,2,FALSE)/VLOOKUP(MONTH(C$44),$K$5:$N$16,4,FALSE))),0,VLOOKUP(C$44,$B$3:$D$7,3,TRUE)*(VLOOKUP(C$45,$G$7:$H$8,2,FALSE)/255)*(VLOOKUP(MONTH(C$44),$K$5:$N$16,2,FALSE)/VLOOKUP(MONTH(C$44),$K$5:$N$16,4,FALSE)))</f>
        <v>0</v>
      </c>
      <c r="D46" s="212">
        <f aca="true" t="shared" si="5" ref="D46:M46">VLOOKUP(D$44,$B$3:$D$7,3,TRUE)*(VLOOKUP(D$45,$G$7:$H$8,2,FALSE)/255)*(VLOOKUP(MONTH(D$44),$K$5:$N$16,2,FALSE)/VLOOKUP(MONTH(D$44),$K$5:$N$16,4,FALSE))</f>
        <v>0</v>
      </c>
      <c r="E46" s="212">
        <f t="shared" si="5"/>
        <v>0</v>
      </c>
      <c r="F46" s="212">
        <f t="shared" si="5"/>
        <v>0</v>
      </c>
      <c r="G46" s="212">
        <f t="shared" si="5"/>
        <v>0</v>
      </c>
      <c r="H46" s="212">
        <f t="shared" si="5"/>
        <v>0</v>
      </c>
      <c r="I46" s="212">
        <f t="shared" si="5"/>
        <v>0</v>
      </c>
      <c r="J46" s="212">
        <f t="shared" si="5"/>
        <v>0</v>
      </c>
      <c r="K46" s="212">
        <f t="shared" si="5"/>
        <v>0</v>
      </c>
      <c r="L46" s="212">
        <f t="shared" si="5"/>
        <v>0</v>
      </c>
      <c r="M46" s="212">
        <f t="shared" si="5"/>
        <v>0</v>
      </c>
      <c r="N46" s="212">
        <f>SUM(B46:M46)/12</f>
        <v>0</v>
      </c>
      <c r="O46" s="212">
        <f>(1/0.699)*N46</f>
        <v>0</v>
      </c>
    </row>
    <row r="47" spans="1:15" ht="15.75">
      <c r="A47" t="s">
        <v>259</v>
      </c>
      <c r="B47" s="212">
        <f>IF(ISNA(VLOOKUP(B$44,$B$3:$D$7,3,TRUE)*(VLOOKUP(B$45,$G$7:$H$8,2,FALSE)/255)*(VLOOKUP(MONTH(B$44),$K$5:$N$16,2,FALSE)/VLOOKUP(MONTH(B$44),$K$5:$N$16,4,FALSE))),0,VLOOKUP(B$44,$B$3:$D$7,3,TRUE)*(VLOOKUP(B$45,$G$7:$H$8,2,FALSE)/255)*(VLOOKUP(MONTH(B$44),$K$5:$N$16,2,FALSE)/VLOOKUP(MONTH(B$44),$K$5:$N$16,4,FALSE)))</f>
        <v>0</v>
      </c>
      <c r="C47" s="212">
        <f>IF(ISNA(VLOOKUP(C$44,$B$3:$D$7,3,TRUE)*(VLOOKUP(C$45,$G$7:$H$8,2,FALSE)/255)*(VLOOKUP(MONTH(C$44),$K$5:$N$16,3,FALSE)/VLOOKUP(MONTH(C$44),$K$5:$N$16,4,FALSE))),0,VLOOKUP(C$44,$B$3:$D$7,3,TRUE)*(VLOOKUP(C$45,$G$7:$H$8,2,FALSE)/255)*(VLOOKUP(MONTH(C$44),$K$5:$N$16,3,FALSE)/VLOOKUP(MONTH(C$44),$K$5:$N$16,4,FALSE)))</f>
        <v>0</v>
      </c>
      <c r="D47" s="212">
        <f aca="true" t="shared" si="6" ref="D47:M47">VLOOKUP(D$44,$B$3:$D$7,3,TRUE)*(VLOOKUP(D$45,$G$7:$H$8,2,FALSE)/255)*(VLOOKUP(MONTH(D$44),$K$5:$N$16,3,FALSE)/VLOOKUP(MONTH(D$44),$K$5:$N$16,4,FALSE))</f>
        <v>0</v>
      </c>
      <c r="E47" s="212">
        <f t="shared" si="6"/>
        <v>0</v>
      </c>
      <c r="F47" s="212">
        <f t="shared" si="6"/>
        <v>0</v>
      </c>
      <c r="G47" s="212">
        <f t="shared" si="6"/>
        <v>0</v>
      </c>
      <c r="H47" s="212">
        <f t="shared" si="6"/>
        <v>0</v>
      </c>
      <c r="I47" s="212">
        <f t="shared" si="6"/>
        <v>0</v>
      </c>
      <c r="J47" s="212">
        <f t="shared" si="6"/>
        <v>0</v>
      </c>
      <c r="K47" s="212">
        <f t="shared" si="6"/>
        <v>0</v>
      </c>
      <c r="L47" s="212">
        <f t="shared" si="6"/>
        <v>0</v>
      </c>
      <c r="M47" s="212">
        <f t="shared" si="6"/>
        <v>0</v>
      </c>
      <c r="N47" s="212">
        <f>SUM(B47:M47)/12</f>
        <v>0</v>
      </c>
      <c r="O47" s="212">
        <f>(1/0.699)*N47</f>
        <v>0</v>
      </c>
    </row>
    <row r="49" spans="1:13" ht="15.75">
      <c r="A49" s="207"/>
      <c r="B49" s="290"/>
      <c r="C49" s="290"/>
      <c r="D49" s="290"/>
      <c r="E49" s="290"/>
      <c r="F49" s="290"/>
      <c r="G49" s="290"/>
      <c r="H49" s="290"/>
      <c r="I49" s="290"/>
      <c r="J49" s="290"/>
      <c r="K49" s="290"/>
      <c r="L49" s="290"/>
      <c r="M49" s="290"/>
    </row>
    <row r="50" spans="2:18" ht="15.75">
      <c r="B50" s="295"/>
      <c r="C50" s="295"/>
      <c r="D50" s="295"/>
      <c r="E50" s="295"/>
      <c r="F50" s="295"/>
      <c r="G50" s="295"/>
      <c r="H50" s="295"/>
      <c r="I50" s="295"/>
      <c r="J50" s="295"/>
      <c r="K50" s="295"/>
      <c r="L50" s="295"/>
      <c r="M50" s="295"/>
      <c r="P50" s="291"/>
      <c r="Q50" s="291"/>
      <c r="R50" s="291"/>
    </row>
    <row r="51" ht="15.75">
      <c r="B51" s="212"/>
    </row>
    <row r="52" ht="15.75">
      <c r="B52" s="212"/>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FFFF00"/>
  </sheetPr>
  <dimension ref="A1:I39"/>
  <sheetViews>
    <sheetView workbookViewId="0" topLeftCell="A1">
      <pane ySplit="2" topLeftCell="A3" activePane="bottomLeft" state="frozen"/>
      <selection pane="topLeft" activeCell="A1" sqref="A1"/>
      <selection pane="bottomLeft" activeCell="E27" sqref="E27"/>
    </sheetView>
  </sheetViews>
  <sheetFormatPr defaultColWidth="9.00390625" defaultRowHeight="15.75"/>
  <cols>
    <col min="2" max="2" width="13.875" style="0" customWidth="1"/>
    <col min="4" max="4" width="10.50390625" style="0" bestFit="1" customWidth="1"/>
    <col min="6" max="6" width="35.375" style="0" customWidth="1"/>
    <col min="7" max="7" width="11.375" style="0" customWidth="1"/>
    <col min="8" max="8" width="13.50390625" style="0" customWidth="1"/>
    <col min="9" max="9" width="11.50390625" style="0" customWidth="1"/>
  </cols>
  <sheetData>
    <row r="1" spans="1:9" ht="48" customHeight="1">
      <c r="A1" s="232"/>
      <c r="B1" s="232"/>
      <c r="C1" s="232"/>
      <c r="D1" s="232"/>
      <c r="E1" s="233" t="s">
        <v>127</v>
      </c>
      <c r="F1" s="234"/>
      <c r="G1" s="235" t="s">
        <v>128</v>
      </c>
      <c r="H1" s="235" t="s">
        <v>129</v>
      </c>
      <c r="I1" s="235" t="s">
        <v>200</v>
      </c>
    </row>
    <row r="2" spans="1:9" ht="15.75">
      <c r="A2" s="253" t="s">
        <v>208</v>
      </c>
      <c r="B2" s="232"/>
      <c r="C2" s="232"/>
      <c r="D2" s="232"/>
      <c r="E2" s="234"/>
      <c r="F2" s="232"/>
      <c r="G2" s="236"/>
      <c r="H2" s="232"/>
      <c r="I2" s="231"/>
    </row>
    <row r="3" spans="1:9" ht="15.75" customHeight="1" hidden="1">
      <c r="A3" s="232"/>
      <c r="B3" s="232"/>
      <c r="C3" s="232"/>
      <c r="D3" s="232"/>
      <c r="E3" s="237" t="s">
        <v>130</v>
      </c>
      <c r="F3" s="237"/>
      <c r="G3" s="238">
        <v>125900</v>
      </c>
      <c r="H3" s="238">
        <v>77476.92307692302</v>
      </c>
      <c r="I3" s="238">
        <v>33896.15384615382</v>
      </c>
    </row>
    <row r="4" spans="1:9" ht="15.75" customHeight="1" hidden="1">
      <c r="A4" s="239" t="s">
        <v>131</v>
      </c>
      <c r="B4" s="240"/>
      <c r="C4" s="241">
        <v>62.6</v>
      </c>
      <c r="D4" s="241"/>
      <c r="E4" s="237" t="s">
        <v>132</v>
      </c>
      <c r="F4" s="237"/>
      <c r="G4" s="238">
        <v>130200</v>
      </c>
      <c r="H4" s="238">
        <v>80123.07692307686</v>
      </c>
      <c r="I4" s="238">
        <v>35053.84615384613</v>
      </c>
    </row>
    <row r="5" spans="1:9" ht="15.75" customHeight="1" hidden="1">
      <c r="A5" s="232"/>
      <c r="B5" s="232"/>
      <c r="C5" s="232"/>
      <c r="D5" s="232"/>
      <c r="E5" s="237"/>
      <c r="F5" s="237"/>
      <c r="G5" s="238"/>
      <c r="H5" s="238"/>
      <c r="I5" s="238"/>
    </row>
    <row r="6" spans="1:9" ht="15.75" customHeight="1" hidden="1">
      <c r="A6" s="232"/>
      <c r="B6" s="232"/>
      <c r="C6" s="232"/>
      <c r="D6" s="232"/>
      <c r="E6" s="234" t="s">
        <v>133</v>
      </c>
      <c r="F6" s="237"/>
      <c r="G6" s="238"/>
      <c r="H6" s="238"/>
      <c r="I6" s="238"/>
    </row>
    <row r="7" spans="1:9" ht="15.75" customHeight="1" hidden="1">
      <c r="A7" s="239" t="s">
        <v>134</v>
      </c>
      <c r="B7" s="240"/>
      <c r="C7" s="241">
        <v>65.72</v>
      </c>
      <c r="D7" s="241"/>
      <c r="E7" s="237" t="s">
        <v>135</v>
      </c>
      <c r="F7" s="237"/>
      <c r="G7" s="238">
        <v>136700</v>
      </c>
      <c r="H7" s="238">
        <v>84123.07692307686</v>
      </c>
      <c r="I7" s="238">
        <v>36803.84615384613</v>
      </c>
    </row>
    <row r="8" spans="1:9" ht="15.75" customHeight="1" hidden="1">
      <c r="A8" s="239" t="s">
        <v>136</v>
      </c>
      <c r="B8" s="240"/>
      <c r="C8" s="241">
        <v>67.93</v>
      </c>
      <c r="D8" s="241"/>
      <c r="E8" s="237" t="s">
        <v>132</v>
      </c>
      <c r="F8" s="237"/>
      <c r="G8" s="238">
        <v>141300</v>
      </c>
      <c r="H8" s="238">
        <v>86953.8461538461</v>
      </c>
      <c r="I8" s="238">
        <v>38042.307692307666</v>
      </c>
    </row>
    <row r="9" spans="1:9" ht="15.75" customHeight="1" hidden="1">
      <c r="A9" s="239" t="s">
        <v>137</v>
      </c>
      <c r="B9" s="240"/>
      <c r="C9" s="335">
        <v>69.76</v>
      </c>
      <c r="D9" s="335"/>
      <c r="E9" s="237"/>
      <c r="F9" s="242"/>
      <c r="G9" s="243"/>
      <c r="H9" s="238"/>
      <c r="I9" s="238"/>
    </row>
    <row r="10" spans="1:9" ht="15.75" customHeight="1" hidden="1">
      <c r="A10" s="244"/>
      <c r="B10" s="244"/>
      <c r="C10" s="244"/>
      <c r="D10" s="244"/>
      <c r="E10" s="234" t="s">
        <v>138</v>
      </c>
      <c r="F10" s="254"/>
      <c r="G10" s="255"/>
      <c r="H10" s="238"/>
      <c r="I10" s="238"/>
    </row>
    <row r="11" spans="1:9" ht="15.75" customHeight="1" hidden="1">
      <c r="A11" s="239" t="s">
        <v>139</v>
      </c>
      <c r="B11" s="240"/>
      <c r="C11" s="241">
        <v>75.48</v>
      </c>
      <c r="D11" s="241"/>
      <c r="E11" s="237" t="s">
        <v>140</v>
      </c>
      <c r="F11" s="237"/>
      <c r="G11" s="238">
        <v>157000</v>
      </c>
      <c r="H11" s="238">
        <v>96615.38461538455</v>
      </c>
      <c r="I11" s="238">
        <v>42269.230769230744</v>
      </c>
    </row>
    <row r="12" spans="1:9" ht="15.75" customHeight="1" hidden="1">
      <c r="A12" s="239" t="s">
        <v>141</v>
      </c>
      <c r="B12" s="240"/>
      <c r="C12" s="241">
        <v>77.5</v>
      </c>
      <c r="D12" s="241"/>
      <c r="E12" s="237" t="s">
        <v>142</v>
      </c>
      <c r="F12" s="237"/>
      <c r="G12" s="238">
        <v>161200</v>
      </c>
      <c r="H12" s="238">
        <v>99199.99999999993</v>
      </c>
      <c r="I12" s="238">
        <v>43399.99999999997</v>
      </c>
    </row>
    <row r="13" spans="1:9" ht="15.75" customHeight="1" hidden="1">
      <c r="A13" s="239" t="s">
        <v>143</v>
      </c>
      <c r="B13" s="240"/>
      <c r="C13" s="241">
        <v>80.14</v>
      </c>
      <c r="D13" s="241"/>
      <c r="E13" s="237" t="s">
        <v>144</v>
      </c>
      <c r="F13" s="245"/>
      <c r="G13" s="238">
        <v>166700</v>
      </c>
      <c r="H13" s="238">
        <v>102584.61538461532</v>
      </c>
      <c r="I13" s="238">
        <v>44880.769230769205</v>
      </c>
    </row>
    <row r="14" spans="1:9" ht="15.75" customHeight="1" hidden="1">
      <c r="A14" s="239" t="s">
        <v>145</v>
      </c>
      <c r="B14" s="240"/>
      <c r="C14" s="241">
        <v>82.64</v>
      </c>
      <c r="D14" s="241"/>
      <c r="E14" s="237" t="s">
        <v>146</v>
      </c>
      <c r="F14" s="245"/>
      <c r="G14" s="238">
        <v>171900</v>
      </c>
      <c r="H14" s="238">
        <v>105784.61538461532</v>
      </c>
      <c r="I14" s="238">
        <v>46280.769230769205</v>
      </c>
    </row>
    <row r="15" spans="1:9" ht="15.75" customHeight="1" hidden="1">
      <c r="A15" s="239" t="s">
        <v>147</v>
      </c>
      <c r="B15" s="240"/>
      <c r="C15" s="241">
        <v>83.89</v>
      </c>
      <c r="D15" s="241"/>
      <c r="E15" s="237" t="s">
        <v>148</v>
      </c>
      <c r="F15" s="245"/>
      <c r="G15" s="238">
        <v>174500</v>
      </c>
      <c r="H15" s="238">
        <v>107384.61538461532</v>
      </c>
      <c r="I15" s="238">
        <v>46980.769230769205</v>
      </c>
    </row>
    <row r="16" spans="1:9" ht="15.75" customHeight="1" hidden="1">
      <c r="A16" s="239" t="s">
        <v>147</v>
      </c>
      <c r="B16" s="240"/>
      <c r="C16" s="241">
        <v>84.47</v>
      </c>
      <c r="D16" s="241"/>
      <c r="E16" s="237" t="s">
        <v>149</v>
      </c>
      <c r="F16" s="245"/>
      <c r="G16" s="238">
        <v>175700</v>
      </c>
      <c r="H16" s="238">
        <v>108123.07692307685</v>
      </c>
      <c r="I16" s="238">
        <v>47303.84615384612</v>
      </c>
    </row>
    <row r="17" spans="1:9" ht="15.75" customHeight="1" hidden="1">
      <c r="A17" s="256"/>
      <c r="B17" s="256"/>
      <c r="C17" s="256"/>
      <c r="D17" s="256"/>
      <c r="E17" s="256"/>
      <c r="F17" s="256"/>
      <c r="G17" s="256"/>
      <c r="H17" s="256"/>
      <c r="I17" s="238"/>
    </row>
    <row r="18" spans="1:9" ht="15.75" customHeight="1" hidden="1">
      <c r="A18" s="239" t="s">
        <v>150</v>
      </c>
      <c r="B18" s="240"/>
      <c r="C18" s="241">
        <v>86.59</v>
      </c>
      <c r="D18" s="241"/>
      <c r="E18" s="237" t="s">
        <v>151</v>
      </c>
      <c r="F18" s="245"/>
      <c r="G18" s="238">
        <v>180100</v>
      </c>
      <c r="H18" s="238">
        <v>110830.76923076916</v>
      </c>
      <c r="I18" s="238">
        <v>48488.46153846151</v>
      </c>
    </row>
    <row r="19" spans="1:9" ht="15.75" customHeight="1" hidden="1">
      <c r="A19" s="239" t="s">
        <v>152</v>
      </c>
      <c r="B19" s="240"/>
      <c r="C19" s="241">
        <v>88.22</v>
      </c>
      <c r="D19" s="241"/>
      <c r="E19" s="237" t="s">
        <v>153</v>
      </c>
      <c r="F19" s="245"/>
      <c r="G19" s="238">
        <v>183500</v>
      </c>
      <c r="H19" s="238">
        <v>112923.07692307685</v>
      </c>
      <c r="I19" s="238">
        <v>49403.84615384612</v>
      </c>
    </row>
    <row r="20" spans="1:9" ht="15.75" customHeight="1" hidden="1">
      <c r="A20" s="239" t="s">
        <v>154</v>
      </c>
      <c r="B20" s="240"/>
      <c r="C20" s="241">
        <v>89.71</v>
      </c>
      <c r="D20" s="241"/>
      <c r="E20" s="237" t="s">
        <v>155</v>
      </c>
      <c r="F20" s="245"/>
      <c r="G20" s="238">
        <v>186600</v>
      </c>
      <c r="H20" s="238">
        <v>114830.76923076916</v>
      </c>
      <c r="I20" s="238">
        <v>50238.46153846151</v>
      </c>
    </row>
    <row r="21" spans="1:9" ht="15.75" hidden="1">
      <c r="A21" s="239"/>
      <c r="B21" s="249"/>
      <c r="C21" s="241">
        <v>91.97</v>
      </c>
      <c r="D21" s="241"/>
      <c r="E21" s="237" t="s">
        <v>205</v>
      </c>
      <c r="F21" s="245"/>
      <c r="G21" s="238">
        <v>191300</v>
      </c>
      <c r="H21" s="257">
        <f aca="true" t="shared" si="0" ref="H21:H26">G21*0.615384615384615</f>
        <v>117723.07692307685</v>
      </c>
      <c r="I21" s="252">
        <f aca="true" t="shared" si="1" ref="I21:I26">+H21*0.4375</f>
        <v>51503.84615384612</v>
      </c>
    </row>
    <row r="22" spans="1:9" ht="15.75" hidden="1">
      <c r="A22" s="239"/>
      <c r="B22" s="249"/>
      <c r="C22" s="241">
        <v>94.57</v>
      </c>
      <c r="D22" s="241"/>
      <c r="E22" s="237" t="s">
        <v>203</v>
      </c>
      <c r="F22" s="245"/>
      <c r="G22" s="238">
        <v>196700</v>
      </c>
      <c r="H22" s="257">
        <f t="shared" si="0"/>
        <v>121046.15384615377</v>
      </c>
      <c r="I22" s="252">
        <f t="shared" si="1"/>
        <v>52957.692307692276</v>
      </c>
    </row>
    <row r="23" spans="1:9" ht="15.75" hidden="1">
      <c r="A23" s="239"/>
      <c r="B23" s="249"/>
      <c r="C23" s="241">
        <v>96.01</v>
      </c>
      <c r="D23" s="241"/>
      <c r="E23" s="237" t="s">
        <v>204</v>
      </c>
      <c r="F23" s="245"/>
      <c r="G23" s="238">
        <v>199700</v>
      </c>
      <c r="H23" s="257">
        <f t="shared" si="0"/>
        <v>122892.30769230762</v>
      </c>
      <c r="I23" s="252">
        <f t="shared" si="1"/>
        <v>53765.38461538458</v>
      </c>
    </row>
    <row r="24" spans="1:9" s="136" customFormat="1" ht="15.75" hidden="1">
      <c r="A24" s="248"/>
      <c r="B24" s="249"/>
      <c r="C24" s="241">
        <v>86.39</v>
      </c>
      <c r="D24" s="241"/>
      <c r="E24" s="250" t="s">
        <v>209</v>
      </c>
      <c r="F24" s="251"/>
      <c r="G24" s="252">
        <v>179700</v>
      </c>
      <c r="H24" s="257">
        <f t="shared" si="0"/>
        <v>110584.61538461532</v>
      </c>
      <c r="I24" s="252">
        <f t="shared" si="1"/>
        <v>48380.769230769205</v>
      </c>
    </row>
    <row r="25" spans="1:9" s="136" customFormat="1" ht="15.75" hidden="1">
      <c r="A25" s="248"/>
      <c r="B25" s="249"/>
      <c r="C25" s="241">
        <v>87.26</v>
      </c>
      <c r="D25" s="241"/>
      <c r="E25" s="250" t="s">
        <v>206</v>
      </c>
      <c r="F25" s="251"/>
      <c r="G25" s="252">
        <v>181500</v>
      </c>
      <c r="H25" s="257">
        <f t="shared" si="0"/>
        <v>111692.30769230762</v>
      </c>
      <c r="I25" s="252">
        <f t="shared" si="1"/>
        <v>48865.38461538458</v>
      </c>
    </row>
    <row r="26" spans="1:9" s="136" customFormat="1" ht="15.75" hidden="1">
      <c r="A26" s="248"/>
      <c r="B26" s="249"/>
      <c r="C26" s="241">
        <f aca="true" t="shared" si="2" ref="C26:C31">SUM((G26/52)/40)</f>
        <v>88.125</v>
      </c>
      <c r="D26" s="241"/>
      <c r="E26" s="250" t="s">
        <v>228</v>
      </c>
      <c r="F26" s="251"/>
      <c r="G26" s="252">
        <v>183300</v>
      </c>
      <c r="H26" s="257">
        <f t="shared" si="0"/>
        <v>112799.99999999993</v>
      </c>
      <c r="I26" s="252">
        <f t="shared" si="1"/>
        <v>49349.99999999997</v>
      </c>
    </row>
    <row r="27" spans="1:9" ht="15.75">
      <c r="A27" s="248"/>
      <c r="B27" s="249"/>
      <c r="C27" s="241">
        <f t="shared" si="2"/>
        <v>89.90384615384616</v>
      </c>
      <c r="D27" s="241"/>
      <c r="E27" s="250" t="s">
        <v>223</v>
      </c>
      <c r="F27" s="251"/>
      <c r="G27" s="252">
        <v>187000</v>
      </c>
      <c r="H27" s="257">
        <f>G27*0.615384615384615</f>
        <v>115076.923076923</v>
      </c>
      <c r="I27" s="252">
        <f>+H27*0.4375</f>
        <v>50346.153846153815</v>
      </c>
    </row>
    <row r="28" spans="1:9" ht="15.75">
      <c r="A28" s="248"/>
      <c r="B28" s="249"/>
      <c r="C28" s="241">
        <f t="shared" si="2"/>
        <v>91.15384615384616</v>
      </c>
      <c r="D28" s="241"/>
      <c r="E28" s="250" t="s">
        <v>226</v>
      </c>
      <c r="F28" s="251"/>
      <c r="G28" s="252">
        <v>189600</v>
      </c>
      <c r="H28" s="257">
        <f>G28*0.615384615384615</f>
        <v>116676.923076923</v>
      </c>
      <c r="I28" s="252">
        <f>+H28*0.4375</f>
        <v>51046.153846153815</v>
      </c>
    </row>
    <row r="29" spans="1:9" ht="15.75">
      <c r="A29" s="248"/>
      <c r="B29" s="249"/>
      <c r="C29" s="241">
        <f t="shared" si="2"/>
        <v>92.45192307692307</v>
      </c>
      <c r="D29" s="241"/>
      <c r="E29" s="250" t="s">
        <v>227</v>
      </c>
      <c r="F29" s="251"/>
      <c r="G29" s="252">
        <v>192300</v>
      </c>
      <c r="H29" s="257">
        <f>G29*0.615384615384615</f>
        <v>118338.46153846146</v>
      </c>
      <c r="I29" s="252">
        <f>+H29*0.4375</f>
        <v>51773.076923076886</v>
      </c>
    </row>
    <row r="30" spans="1:9" ht="15.75">
      <c r="A30" s="248"/>
      <c r="B30" s="249"/>
      <c r="C30" s="241">
        <f t="shared" si="2"/>
        <v>94.85576923076923</v>
      </c>
      <c r="D30" s="241"/>
      <c r="E30" s="250" t="s">
        <v>231</v>
      </c>
      <c r="F30" s="251"/>
      <c r="G30" s="252">
        <v>197300</v>
      </c>
      <c r="H30" s="257">
        <f>G30*0.615384615384615</f>
        <v>121415.38461538454</v>
      </c>
      <c r="I30" s="252">
        <f>+H30*0.4375</f>
        <v>53119.23076923074</v>
      </c>
    </row>
    <row r="31" spans="1:9" ht="15.75">
      <c r="A31" s="248"/>
      <c r="B31" s="249"/>
      <c r="C31" s="241">
        <f t="shared" si="2"/>
        <v>95.8173076923077</v>
      </c>
      <c r="D31" s="241"/>
      <c r="E31" s="250" t="s">
        <v>232</v>
      </c>
      <c r="F31" s="251"/>
      <c r="G31" s="252">
        <v>199300</v>
      </c>
      <c r="H31" s="257">
        <f>G31*0.615384615384615</f>
        <v>122646.15384615377</v>
      </c>
      <c r="I31" s="252">
        <f>+H31*0.4375</f>
        <v>53657.692307692276</v>
      </c>
    </row>
    <row r="32" spans="1:9" ht="12" customHeight="1">
      <c r="A32" s="231"/>
      <c r="B32" s="231"/>
      <c r="C32" s="231"/>
      <c r="D32" s="231"/>
      <c r="E32" s="231"/>
      <c r="F32" s="231"/>
      <c r="G32" s="231"/>
      <c r="H32" s="231"/>
      <c r="I32" s="238"/>
    </row>
    <row r="33" spans="1:9" ht="15.75">
      <c r="A33" s="336" t="s">
        <v>156</v>
      </c>
      <c r="B33" s="337"/>
      <c r="C33" s="337"/>
      <c r="D33" s="337"/>
      <c r="E33" s="337"/>
      <c r="F33" s="337"/>
      <c r="G33" s="338" t="s">
        <v>179</v>
      </c>
      <c r="H33" s="338"/>
      <c r="I33" s="327">
        <f>H31+I31</f>
        <v>176303.84615384604</v>
      </c>
    </row>
    <row r="34" spans="1:9" ht="17.25" customHeight="1">
      <c r="A34" s="337"/>
      <c r="B34" s="337"/>
      <c r="C34" s="337"/>
      <c r="D34" s="337"/>
      <c r="E34" s="337"/>
      <c r="F34" s="337"/>
      <c r="G34" s="339"/>
      <c r="H34" s="339"/>
      <c r="I34" s="328"/>
    </row>
    <row r="35" spans="1:9" ht="15.75">
      <c r="A35" s="337"/>
      <c r="B35" s="337"/>
      <c r="C35" s="337"/>
      <c r="D35" s="337"/>
      <c r="E35" s="337"/>
      <c r="F35" s="337"/>
      <c r="G35" s="339"/>
      <c r="H35" s="339"/>
      <c r="I35" s="328"/>
    </row>
    <row r="36" spans="1:5" ht="12" customHeight="1">
      <c r="A36" s="229"/>
      <c r="B36" s="230"/>
      <c r="C36" s="230"/>
      <c r="D36" s="278"/>
      <c r="E36" s="279"/>
    </row>
    <row r="37" spans="1:9" ht="12.75" customHeight="1">
      <c r="A37" s="329" t="s">
        <v>157</v>
      </c>
      <c r="B37" s="330"/>
      <c r="C37" s="330"/>
      <c r="D37" s="331"/>
      <c r="E37" s="332"/>
      <c r="F37" s="231"/>
      <c r="G37" s="231"/>
      <c r="H37" s="231"/>
      <c r="I37" s="231"/>
    </row>
    <row r="38" spans="1:9" ht="12.75" customHeight="1">
      <c r="A38" s="231"/>
      <c r="B38" s="231"/>
      <c r="C38" s="231"/>
      <c r="D38" s="247"/>
      <c r="E38" s="247"/>
      <c r="F38" s="231"/>
      <c r="G38" s="231"/>
      <c r="H38" s="231"/>
      <c r="I38" s="231"/>
    </row>
    <row r="39" spans="1:9" ht="15.75">
      <c r="A39" s="231"/>
      <c r="B39" s="231"/>
      <c r="C39" s="246" t="s">
        <v>158</v>
      </c>
      <c r="D39" s="333">
        <f>D37/33*14</f>
        <v>0</v>
      </c>
      <c r="E39" s="333"/>
      <c r="F39" s="231"/>
      <c r="G39" s="231"/>
      <c r="H39" s="334" t="s">
        <v>233</v>
      </c>
      <c r="I39" s="334"/>
    </row>
  </sheetData>
  <sheetProtection/>
  <mergeCells count="8">
    <mergeCell ref="I33:I35"/>
    <mergeCell ref="A37:C37"/>
    <mergeCell ref="D37:E37"/>
    <mergeCell ref="D39:E39"/>
    <mergeCell ref="H39:I39"/>
    <mergeCell ref="C9:D9"/>
    <mergeCell ref="A33:F35"/>
    <mergeCell ref="G33:H35"/>
  </mergeCells>
  <conditionalFormatting sqref="A4 A7:A9 A11:A16 A18:A24">
    <cfRule type="cellIs" priority="4" dxfId="4" operator="greaterThan" stopIfTrue="1">
      <formula>$L$4</formula>
    </cfRule>
  </conditionalFormatting>
  <conditionalFormatting sqref="A24">
    <cfRule type="cellIs" priority="3" dxfId="4" operator="greaterThan" stopIfTrue="1">
      <formula>$L$4</formula>
    </cfRule>
  </conditionalFormatting>
  <conditionalFormatting sqref="A25:A26">
    <cfRule type="cellIs" priority="2" dxfId="4" operator="greaterThan" stopIfTrue="1">
      <formula>$L$4</formula>
    </cfRule>
  </conditionalFormatting>
  <conditionalFormatting sqref="A25:A26">
    <cfRule type="cellIs" priority="1" dxfId="4" operator="greaterThan" stopIfTrue="1">
      <formula>$L$4</formula>
    </cfRule>
  </conditionalFormatting>
  <printOptions/>
  <pageMargins left="0.25" right="0.25" top="0.75" bottom="0.75" header="0.3" footer="0.3"/>
  <pageSetup horizontalDpi="300" verticalDpi="3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 Data Solutions - WS1</dc:creator>
  <cp:keywords/>
  <dc:description/>
  <cp:lastModifiedBy>Lampson, Amanda (lampsoam)</cp:lastModifiedBy>
  <cp:lastPrinted>2018-01-26T15:35:36Z</cp:lastPrinted>
  <dcterms:created xsi:type="dcterms:W3CDTF">1997-02-25T19:32:14Z</dcterms:created>
  <dcterms:modified xsi:type="dcterms:W3CDTF">2021-06-29T20:06:07Z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0x0101009571625A4492F547A78F4AC4C600C3A6</vt:lpwstr>
  </property>
  <property fmtid="{D5CDD505-2E9C-101B-9397-08002B2CF9AE}" pid="3" name="MigrationWizIdPermissionLevels">
    <vt:lpwstr/>
  </property>
  <property fmtid="{D5CDD505-2E9C-101B-9397-08002B2CF9AE}" pid="4" name="_ip_UnifiedCompliancePolicyUIAction">
    <vt:lpwstr/>
  </property>
  <property fmtid="{D5CDD505-2E9C-101B-9397-08002B2CF9AE}" pid="5" name="MigrationWizId">
    <vt:lpwstr/>
  </property>
  <property fmtid="{D5CDD505-2E9C-101B-9397-08002B2CF9AE}" pid="6" name="MigrationWizIdPermissions">
    <vt:lpwstr/>
  </property>
  <property fmtid="{D5CDD505-2E9C-101B-9397-08002B2CF9AE}" pid="7" name="_ip_UnifiedCompliancePolicyProperties">
    <vt:lpwstr/>
  </property>
  <property fmtid="{D5CDD505-2E9C-101B-9397-08002B2CF9AE}" pid="8" name="MigrationWizIdSecurityGroups">
    <vt:lpwstr/>
  </property>
  <property fmtid="{D5CDD505-2E9C-101B-9397-08002B2CF9AE}" pid="9" name="MigrationWizIdDocumentLibraryPermissions">
    <vt:lpwstr/>
  </property>
</Properties>
</file>