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850" tabRatio="784" activeTab="0"/>
  </bookViews>
  <sheets>
    <sheet name="Instructions " sheetId="1" r:id="rId1"/>
    <sheet name="1 Year" sheetId="2" r:id="rId2"/>
    <sheet name="2 Year" sheetId="3" r:id="rId3"/>
    <sheet name="3 Year" sheetId="4" r:id="rId4"/>
    <sheet name="4 Year" sheetId="5" r:id="rId5"/>
    <sheet name="5 Year" sheetId="6" r:id="rId6"/>
    <sheet name="RATES-Fed" sheetId="7" r:id="rId7"/>
    <sheet name="NIH sal cap info" sheetId="8" r:id="rId8"/>
    <sheet name="Conversion Chart" sheetId="9" r:id="rId9"/>
    <sheet name="Ref" sheetId="10" r:id="rId10"/>
  </sheets>
  <externalReferences>
    <externalReference r:id="rId13"/>
    <externalReference r:id="rId14"/>
  </externalReferences>
  <definedNames>
    <definedName name="APPTS">'Ref'!$C$9:$C$12</definedName>
    <definedName name="CombDirectTotal">#REF!</definedName>
    <definedName name="CombIndirect" localSheetId="7">#REF!</definedName>
    <definedName name="CombIndirect">'[1]CHKLST'!#REF!</definedName>
    <definedName name="FirstAltTotal">#REF!</definedName>
    <definedName name="FirstConsultTotal">#REF!</definedName>
    <definedName name="FirstEquipTotal">#REF!</definedName>
    <definedName name="FirstIndirect">#REF!</definedName>
    <definedName name="FirstInptTotal">#REF!</definedName>
    <definedName name="FirstOtrTotal">#REF!</definedName>
    <definedName name="FirstOutptTotal">#REF!</definedName>
    <definedName name="FirstPersonTotal">#REF!</definedName>
    <definedName name="FirstSubcDirect">#REF!</definedName>
    <definedName name="FirstSubcIDC">#REF!</definedName>
    <definedName name="FirstSubtotal">#REF!</definedName>
    <definedName name="FirstSupplTotal">#REF!</definedName>
    <definedName name="FirstTotalDirect">#REF!</definedName>
    <definedName name="FirstTravTotal">#REF!</definedName>
    <definedName name="_xlnm.Print_Area" localSheetId="1">'1 Year'!$A$1:$O$83</definedName>
    <definedName name="_xlnm.Print_Area" localSheetId="8">'Conversion Chart'!$A$1:$N$43</definedName>
    <definedName name="_xlnm.Print_Area" localSheetId="7">'NIH sal cap info'!$A$1:$I$36</definedName>
    <definedName name="Print_Area_MI">#REF!</definedName>
    <definedName name="Print_Titles_MI" localSheetId="7">#REF!</definedName>
    <definedName name="Print_Titles_MI">'[1]FACE'!#REF!</definedName>
    <definedName name="PRSALARY">#REF!</definedName>
    <definedName name="Year1Sub">#REF!</definedName>
    <definedName name="Year2Inc">'[2]Ref'!$C$4</definedName>
    <definedName name="Year2Sub">#REF!</definedName>
    <definedName name="Year3Inc">'[2]Ref'!$C$5</definedName>
    <definedName name="Year3Sub">#REF!</definedName>
    <definedName name="Year4Inc">'[2]Ref'!$C$6</definedName>
    <definedName name="Year4Sub">#REF!</definedName>
    <definedName name="Year5Inc">'[2]Ref'!$C$7</definedName>
    <definedName name="Year5Sub">#REF!</definedName>
  </definedNames>
  <calcPr fullCalcOnLoad="1"/>
</workbook>
</file>

<file path=xl/comments2.xml><?xml version="1.0" encoding="utf-8"?>
<comments xmlns="http://schemas.openxmlformats.org/spreadsheetml/2006/main">
  <authors>
    <author>OSP-West</author>
  </authors>
  <commentList>
    <comment ref="D17" authorId="0">
      <text>
        <r>
          <rPr>
            <sz val="10"/>
            <rFont val="Tahoma"/>
            <family val="2"/>
          </rPr>
          <t>College of Medicine faculty are primarily on 52 week appointments and are not eligble for Recess (Extra Comp) pay.</t>
        </r>
      </text>
    </comment>
    <comment ref="C53" authorId="0">
      <text>
        <r>
          <rPr>
            <sz val="10"/>
            <rFont val="Tahoma"/>
            <family val="2"/>
          </rPr>
          <t xml:space="preserve">Based on recent rate increases we suggest that a 3% per year inflation factor be used to project future tuition rates. </t>
        </r>
      </text>
    </comment>
  </commentList>
</comments>
</file>

<file path=xl/comments3.xml><?xml version="1.0" encoding="utf-8"?>
<comments xmlns="http://schemas.openxmlformats.org/spreadsheetml/2006/main">
  <authors>
    <author>OSP-West</author>
  </authors>
  <commentList>
    <comment ref="D17" authorId="0">
      <text>
        <r>
          <rPr>
            <sz val="10"/>
            <rFont val="Tahoma"/>
            <family val="2"/>
          </rPr>
          <t>College of Medicine faculty are primarily on 52 week appointments and are not eligble for Recess (Extra Comp) pay.</t>
        </r>
      </text>
    </comment>
    <comment ref="C52" authorId="0">
      <text>
        <r>
          <rPr>
            <sz val="10"/>
            <rFont val="Tahoma"/>
            <family val="2"/>
          </rPr>
          <t xml:space="preserve">Based on recent rate increases we suggest that a 3% per year inflation factor be used to project future tuition rates. </t>
        </r>
      </text>
    </comment>
  </commentList>
</comments>
</file>

<file path=xl/comments4.xml><?xml version="1.0" encoding="utf-8"?>
<comments xmlns="http://schemas.openxmlformats.org/spreadsheetml/2006/main">
  <authors>
    <author>OSP-West</author>
  </authors>
  <commentList>
    <comment ref="D17" authorId="0">
      <text>
        <r>
          <rPr>
            <sz val="10"/>
            <rFont val="Tahoma"/>
            <family val="2"/>
          </rPr>
          <t>College of Medicine faculty are primarily on 52 week appointments and are not eligble for Recess (Extra Comp) pay.</t>
        </r>
      </text>
    </comment>
    <comment ref="C52" authorId="0">
      <text>
        <r>
          <rPr>
            <sz val="10"/>
            <rFont val="Tahoma"/>
            <family val="2"/>
          </rPr>
          <t xml:space="preserve">Based on recent rate increases we suggest that a 3% per year inflation factor be used to project future tuition rates. </t>
        </r>
      </text>
    </comment>
  </commentList>
</comments>
</file>

<file path=xl/comments5.xml><?xml version="1.0" encoding="utf-8"?>
<comments xmlns="http://schemas.openxmlformats.org/spreadsheetml/2006/main">
  <authors>
    <author>OSP-West</author>
  </authors>
  <commentList>
    <comment ref="D17" authorId="0">
      <text>
        <r>
          <rPr>
            <sz val="10"/>
            <rFont val="Tahoma"/>
            <family val="2"/>
          </rPr>
          <t>College of Medicine faculty are primarily on 52 week appointments and are not eligble for Recess (Extra Comp) pay.</t>
        </r>
      </text>
    </comment>
    <comment ref="C52" authorId="0">
      <text>
        <r>
          <rPr>
            <sz val="10"/>
            <rFont val="Tahoma"/>
            <family val="2"/>
          </rPr>
          <t xml:space="preserve">Based on recent rate increases we suggest that a 3% per year inflation factor be used to project future tuition rates. </t>
        </r>
      </text>
    </comment>
  </commentList>
</comments>
</file>

<file path=xl/comments6.xml><?xml version="1.0" encoding="utf-8"?>
<comments xmlns="http://schemas.openxmlformats.org/spreadsheetml/2006/main">
  <authors>
    <author>OSP-West</author>
  </authors>
  <commentList>
    <comment ref="D17" authorId="0">
      <text>
        <r>
          <rPr>
            <sz val="10"/>
            <rFont val="Tahoma"/>
            <family val="2"/>
          </rPr>
          <t>College of Medicine faculty are primarily on 52 week appointments and are not eligble for Recess (Extra Comp) pay.</t>
        </r>
      </text>
    </comment>
    <comment ref="C52" authorId="0">
      <text>
        <r>
          <rPr>
            <sz val="10"/>
            <rFont val="Tahoma"/>
            <family val="2"/>
          </rPr>
          <t xml:space="preserve">Based on recent rate increases we suggest that a 3% per year inflation factor be used to project future tuition rates. </t>
        </r>
      </text>
    </comment>
  </commentList>
</comments>
</file>

<file path=xl/comments8.xml><?xml version="1.0" encoding="utf-8"?>
<comments xmlns="http://schemas.openxmlformats.org/spreadsheetml/2006/main">
  <authors>
    <author>stephedd</author>
  </authors>
  <commentList>
    <comment ref="A4" authorId="0">
      <text>
        <r>
          <rPr>
            <b/>
            <sz val="10"/>
            <rFont val="Tahoma"/>
            <family val="2"/>
          </rPr>
          <t>Award start date: 10/98-9/99
Effort after 12/31/99</t>
        </r>
      </text>
    </comment>
    <comment ref="A7" authorId="0">
      <text>
        <r>
          <rPr>
            <b/>
            <sz val="10"/>
            <rFont val="Tahoma"/>
            <family val="2"/>
          </rPr>
          <t xml:space="preserve">Award start date: 10/99-09/00
Effort between 10/99 - 12/99
</t>
        </r>
      </text>
    </comment>
    <comment ref="A8" authorId="0">
      <text>
        <r>
          <rPr>
            <b/>
            <sz val="10"/>
            <rFont val="Tahoma"/>
            <family val="2"/>
          </rPr>
          <t>Award start date: 10/99-9/00
Effort after 12/31/99</t>
        </r>
      </text>
    </comment>
    <comment ref="A9" authorId="0">
      <text>
        <r>
          <rPr>
            <b/>
            <sz val="10"/>
            <rFont val="Tahoma"/>
            <family val="2"/>
          </rPr>
          <t xml:space="preserve">Award start date: 10/00-09/01
Effort between 10/01 - 12/01
</t>
        </r>
      </text>
    </comment>
    <comment ref="A11" authorId="0">
      <text>
        <r>
          <rPr>
            <b/>
            <sz val="10"/>
            <rFont val="Tahoma"/>
            <family val="2"/>
          </rPr>
          <t>Award start date: 10/00-9/01
Effort between 
10/31/00-12/31/00</t>
        </r>
      </text>
    </comment>
    <comment ref="A12" authorId="0">
      <text>
        <r>
          <rPr>
            <b/>
            <sz val="10"/>
            <rFont val="Tahoma"/>
            <family val="2"/>
          </rPr>
          <t>Award start date: 10/00-09/01
Effort after 12/31/00</t>
        </r>
      </text>
    </comment>
  </commentList>
</comments>
</file>

<file path=xl/sharedStrings.xml><?xml version="1.0" encoding="utf-8"?>
<sst xmlns="http://schemas.openxmlformats.org/spreadsheetml/2006/main" count="814" uniqueCount="275">
  <si>
    <t>Grants / Contracts</t>
  </si>
  <si>
    <t xml:space="preserve"> </t>
  </si>
  <si>
    <t xml:space="preserve">Sponsoring Agency : </t>
  </si>
  <si>
    <t xml:space="preserve">Titled : </t>
  </si>
  <si>
    <t xml:space="preserve">Principal Investigator : </t>
  </si>
  <si>
    <t xml:space="preserve">Period : </t>
  </si>
  <si>
    <t>thru</t>
  </si>
  <si>
    <t>YEAR 1</t>
  </si>
  <si>
    <t>CUMULATIVE</t>
  </si>
  <si>
    <t>A.</t>
  </si>
  <si>
    <t xml:space="preserve"> Salaries</t>
  </si>
  <si>
    <t>Senior Personnel</t>
  </si>
  <si>
    <t>% Effort</t>
  </si>
  <si>
    <t>Salary</t>
  </si>
  <si>
    <t>PI</t>
  </si>
  <si>
    <t>Co</t>
  </si>
  <si>
    <t xml:space="preserve">Senior Personnel Subtotal : </t>
  </si>
  <si>
    <t>B.</t>
  </si>
  <si>
    <t xml:space="preserve"> Other Personnel</t>
  </si>
  <si>
    <t>Graduate Students</t>
  </si>
  <si>
    <t>Undergrad Students</t>
  </si>
  <si>
    <t>Part-time Faculty/Staff</t>
  </si>
  <si>
    <t>Year 1</t>
  </si>
  <si>
    <t>Faculty</t>
  </si>
  <si>
    <t xml:space="preserve">Total Salaries and Fringe Benefits : </t>
  </si>
  <si>
    <t>D.</t>
  </si>
  <si>
    <t xml:space="preserve"> Equipment</t>
  </si>
  <si>
    <t>(list)</t>
  </si>
  <si>
    <t xml:space="preserve">Total Equipment : </t>
  </si>
  <si>
    <t>E.</t>
  </si>
  <si>
    <t xml:space="preserve"> Travel</t>
  </si>
  <si>
    <t xml:space="preserve">Domestic </t>
  </si>
  <si>
    <t xml:space="preserve">International </t>
  </si>
  <si>
    <t xml:space="preserve">Total Travel : </t>
  </si>
  <si>
    <t>G.</t>
  </si>
  <si>
    <t xml:space="preserve"> Supplies and Other Direct Costs</t>
  </si>
  <si>
    <t>Materials &amp; Supplies</t>
  </si>
  <si>
    <t>Publication Costs</t>
  </si>
  <si>
    <t>Consultant Services</t>
  </si>
  <si>
    <t>Computer Services</t>
  </si>
  <si>
    <t>Other (Analytical Services/Instrument Use)</t>
  </si>
  <si>
    <t>Subcontracts       1)</t>
  </si>
  <si>
    <t>2)</t>
  </si>
  <si>
    <t xml:space="preserve">Total Supplies and Other Direct Costs : </t>
  </si>
  <si>
    <t xml:space="preserve">TOTAL DIRECT COSTS: </t>
  </si>
  <si>
    <t xml:space="preserve">Sub-Contract &lt;$25,000 1): </t>
  </si>
  <si>
    <t xml:space="preserve">Sub-Contract &lt;$25,000 2): </t>
  </si>
  <si>
    <t>Total  Cost</t>
  </si>
  <si>
    <t xml:space="preserve">Purpose of Grant / Contract : </t>
  </si>
  <si>
    <t>R</t>
  </si>
  <si>
    <t>(R = Research, I = Instruction, P = Public Service, S = Special Rate on Total Costs)</t>
  </si>
  <si>
    <t>Campus Status :</t>
  </si>
  <si>
    <t>C</t>
  </si>
  <si>
    <t>(C = On Campus, O = Off Campus)</t>
  </si>
  <si>
    <t>YEAR 2</t>
  </si>
  <si>
    <t>Year 2</t>
  </si>
  <si>
    <t>YEAR 3</t>
  </si>
  <si>
    <t>Year 3</t>
  </si>
  <si>
    <t>YEAR 4</t>
  </si>
  <si>
    <t>Year 4</t>
  </si>
  <si>
    <t>YEAR 5</t>
  </si>
  <si>
    <t>Year 5</t>
  </si>
  <si>
    <t xml:space="preserve">Budget Period : </t>
  </si>
  <si>
    <t>-</t>
  </si>
  <si>
    <t>Fringe Benefit Rates</t>
  </si>
  <si>
    <t>Faculty (AAUP)</t>
  </si>
  <si>
    <t>NonExempt Staff (Bi-Weekly)</t>
  </si>
  <si>
    <t>Students (Grad and Undergrad)</t>
  </si>
  <si>
    <t>PRO-RATED RATES USED</t>
  </si>
  <si>
    <t>weight</t>
  </si>
  <si>
    <t>YEAR 6</t>
  </si>
  <si>
    <t>YEAR 7</t>
  </si>
  <si>
    <t>name</t>
  </si>
  <si>
    <t>Click on Rates worksheet</t>
  </si>
  <si>
    <t>The amount will automatically calculate  and be entered in the year 1 column</t>
  </si>
  <si>
    <t>Proceed to enter budget dollars for remainder of personnel</t>
  </si>
  <si>
    <t>Fringes will calculate automatically for you.</t>
  </si>
  <si>
    <t>Proceed to enter budget dollars for remainder of cost categories.</t>
  </si>
  <si>
    <t xml:space="preserve">If you are using a multi year budget you will notice in years 2 and beyond </t>
  </si>
  <si>
    <t>some of the fields are calculating automatically (4% increase)</t>
  </si>
  <si>
    <t>You may override any of those dollars by entering any number in the field.</t>
  </si>
  <si>
    <r>
      <t xml:space="preserve">Change the budget period </t>
    </r>
    <r>
      <rPr>
        <sz val="12"/>
        <color indexed="12"/>
        <rFont val="Times New Roman"/>
        <family val="1"/>
      </rPr>
      <t>dates</t>
    </r>
    <r>
      <rPr>
        <sz val="12"/>
        <rFont val="Times New Roman"/>
        <family val="0"/>
      </rPr>
      <t xml:space="preserve"> to coincide with your project period</t>
    </r>
  </si>
  <si>
    <r>
      <t>Click on the word</t>
    </r>
    <r>
      <rPr>
        <sz val="12"/>
        <color indexed="12"/>
        <rFont val="Times New Roman"/>
        <family val="1"/>
      </rPr>
      <t xml:space="preserve"> name </t>
    </r>
    <r>
      <rPr>
        <sz val="12"/>
        <rFont val="Times New Roman"/>
        <family val="0"/>
      </rPr>
      <t>next to Sponsoring Agency and enter your sponsor's name</t>
    </r>
  </si>
  <si>
    <r>
      <t xml:space="preserve">Click on the word </t>
    </r>
    <r>
      <rPr>
        <sz val="12"/>
        <color indexed="12"/>
        <rFont val="Times New Roman"/>
        <family val="1"/>
      </rPr>
      <t xml:space="preserve">name </t>
    </r>
    <r>
      <rPr>
        <sz val="12"/>
        <rFont val="Times New Roman"/>
        <family val="0"/>
      </rPr>
      <t>next to Title and enter the title of your project</t>
    </r>
  </si>
  <si>
    <r>
      <t xml:space="preserve">Your project start and end date should appear in </t>
    </r>
    <r>
      <rPr>
        <sz val="12"/>
        <color indexed="10"/>
        <rFont val="Times New Roman"/>
        <family val="1"/>
      </rPr>
      <t>red.</t>
    </r>
    <r>
      <rPr>
        <sz val="12"/>
        <rFont val="Times New Roman"/>
        <family val="0"/>
      </rPr>
      <t xml:space="preserve"> </t>
    </r>
  </si>
  <si>
    <r>
      <t xml:space="preserve"> They come from the </t>
    </r>
    <r>
      <rPr>
        <sz val="12"/>
        <color indexed="12"/>
        <rFont val="Times New Roman"/>
        <family val="1"/>
      </rPr>
      <t>dates</t>
    </r>
    <r>
      <rPr>
        <sz val="12"/>
        <rFont val="Times New Roman"/>
        <family val="0"/>
      </rPr>
      <t xml:space="preserve"> you entered on the Rates Worksheet</t>
    </r>
  </si>
  <si>
    <r>
      <t xml:space="preserve">Click on the second </t>
    </r>
    <r>
      <rPr>
        <sz val="12"/>
        <color indexed="12"/>
        <rFont val="Times New Roman"/>
        <family val="1"/>
      </rPr>
      <t xml:space="preserve">0% </t>
    </r>
    <r>
      <rPr>
        <sz val="12"/>
        <rFont val="Times New Roman"/>
        <family val="0"/>
      </rPr>
      <t>under effort and enter the percentage of time you will spend on the project during the recess year.</t>
    </r>
  </si>
  <si>
    <t>Exmpt Staff (Mnthly)/Non-AAUP Faculty</t>
  </si>
  <si>
    <t>Part-Time Faculty (&lt;65%)/Staff (&lt;80%)/Post Doc</t>
  </si>
  <si>
    <t>Exempt Staff (Monthly)</t>
  </si>
  <si>
    <t>Post Doctoral Support</t>
  </si>
  <si>
    <t>Non-Exempt Staff (Bi-Weekly)</t>
  </si>
  <si>
    <t>P-T Fac(&lt;65%)/Staff(&lt;80%)&amp;Post Doc</t>
  </si>
  <si>
    <t>Long Distance (Not Subject to Indirect)</t>
  </si>
  <si>
    <t xml:space="preserve">5 Year Budget </t>
  </si>
  <si>
    <t xml:space="preserve">Sub-Contract &lt;$25,000 3): </t>
  </si>
  <si>
    <t xml:space="preserve">Sub-Contract &lt;$25,000 4): </t>
  </si>
  <si>
    <t>3)</t>
  </si>
  <si>
    <t>4)</t>
  </si>
  <si>
    <t>Step 1:  MANDATORY</t>
  </si>
  <si>
    <t>Click on the first "-" under salary and enter the appropriate base salary at the expected time of the award.</t>
  </si>
  <si>
    <t>Fringe Benefit Base for Project Period</t>
  </si>
  <si>
    <t>Year 6</t>
  </si>
  <si>
    <t>Year 7</t>
  </si>
  <si>
    <t>App't Type</t>
  </si>
  <si>
    <t>UC Tuition rates (Not Subject to Indirect)</t>
  </si>
  <si>
    <t xml:space="preserve">Instructions for Federal projects </t>
  </si>
  <si>
    <t>From the drop down list, choose the base (starting year) fiscal year of the project.</t>
  </si>
  <si>
    <t>New</t>
  </si>
  <si>
    <t>Fiscal year dates:</t>
  </si>
  <si>
    <t>Click on the worksheet that agrees with the number years you are requesting the sponsor to fund</t>
  </si>
  <si>
    <r>
      <t xml:space="preserve">Click on the word </t>
    </r>
    <r>
      <rPr>
        <sz val="12"/>
        <color indexed="12"/>
        <rFont val="Times New Roman"/>
        <family val="1"/>
      </rPr>
      <t xml:space="preserve">name </t>
    </r>
    <r>
      <rPr>
        <sz val="12"/>
        <rFont val="Times New Roman"/>
        <family val="0"/>
      </rPr>
      <t xml:space="preserve">next to Principal Investigator (PI) and the PI's name </t>
    </r>
  </si>
  <si>
    <t>The appropriate salary increases for the same % of effort in subsequent years are automatically calculated in the spreadsheet.</t>
  </si>
  <si>
    <t>The recess base salary will be calculated automatically</t>
  </si>
  <si>
    <t>The amount will automatically calculate and be entered in the year 1 column</t>
  </si>
  <si>
    <r>
      <t>Enter the</t>
    </r>
    <r>
      <rPr>
        <sz val="12"/>
        <color indexed="12"/>
        <rFont val="Times New Roman"/>
        <family val="1"/>
      </rPr>
      <t xml:space="preserve"> </t>
    </r>
    <r>
      <rPr>
        <sz val="12"/>
        <rFont val="Times New Roman"/>
        <family val="1"/>
      </rPr>
      <t>name</t>
    </r>
    <r>
      <rPr>
        <sz val="12"/>
        <rFont val="Times New Roman"/>
        <family val="0"/>
      </rPr>
      <t xml:space="preserve"> of the Co-PI</t>
    </r>
  </si>
  <si>
    <t>If the Co-PI is on a 32 week appointment and eligible for Extra Compensation enter the percentage of time the CoPI will spend on the project during the recess period.</t>
  </si>
  <si>
    <t>Enter the percentage of time the Co PI will spend on the project during the academic period.</t>
  </si>
  <si>
    <r>
      <t xml:space="preserve">Click on the </t>
    </r>
    <r>
      <rPr>
        <sz val="12"/>
        <color indexed="12"/>
        <rFont val="Times New Roman"/>
        <family val="1"/>
      </rPr>
      <t xml:space="preserve">0% </t>
    </r>
    <r>
      <rPr>
        <sz val="12"/>
        <rFont val="Times New Roman"/>
        <family val="0"/>
      </rPr>
      <t>under effort and enter the percentage of time you will spend on the project during the academic period.</t>
    </r>
  </si>
  <si>
    <t>Add additional Co-PIs as appropriate</t>
  </si>
  <si>
    <t>Do not override any fringe or indirect cost entries</t>
  </si>
  <si>
    <t>The combination of your budget period dates and base fiscal year will be used to calculate the prorated fringe benefits for the budget.</t>
  </si>
  <si>
    <t>Determine if the CoPI(s) are on a 32 week (aka 9 month or academic year) or 12 month appointment (most College of Medicine faculty are on a 12 month appointment). Use the appropriate line(s) in Senior Personnel section for their type of Appointment.</t>
  </si>
  <si>
    <t xml:space="preserve">Facilities and Administrative Costs Calculation: </t>
  </si>
  <si>
    <t>Facilities and Administrative Cost Base:</t>
  </si>
  <si>
    <t xml:space="preserve">Total F&amp;A Cost : </t>
  </si>
  <si>
    <t xml:space="preserve">F&amp;A Cost (on MTDC): </t>
  </si>
  <si>
    <t>Facilities and Administrative Data</t>
  </si>
  <si>
    <t>Name</t>
  </si>
  <si>
    <t>Total Exempt Staff</t>
  </si>
  <si>
    <t>PM</t>
  </si>
  <si>
    <t>CAL</t>
  </si>
  <si>
    <t>ACAD</t>
  </si>
  <si>
    <t>Calendar</t>
  </si>
  <si>
    <t>Academic</t>
  </si>
  <si>
    <t>Please DO NOT change any information on this sheet.</t>
  </si>
  <si>
    <t>Effective Dates</t>
  </si>
  <si>
    <t>NIH Annual Limitation</t>
  </si>
  <si>
    <t>Limitation Based on 9 Month Appt.</t>
  </si>
  <si>
    <t xml:space="preserve">o  October 1, 1998 through December 31, 1999 </t>
  </si>
  <si>
    <t>NIH1</t>
  </si>
  <si>
    <t>o  January 1, 2000 and beyond</t>
  </si>
  <si>
    <t>FY 2000 Awards  (Executive Level II)</t>
  </si>
  <si>
    <t>NIH2</t>
  </si>
  <si>
    <t>o  October 1, 1999 through December 31, 1999</t>
  </si>
  <si>
    <t>NIH3</t>
  </si>
  <si>
    <t>NIH4</t>
  </si>
  <si>
    <t>FY 2001 Awards  (Executive Level I)</t>
  </si>
  <si>
    <t>NIH5</t>
  </si>
  <si>
    <t>o  October 1, 2000 through December 31, 2000</t>
  </si>
  <si>
    <t>NIH6</t>
  </si>
  <si>
    <t>o  January 1, 2001 though December 31, 2001</t>
  </si>
  <si>
    <t>NIH7</t>
  </si>
  <si>
    <t>o  January 1, 2002 through December 31, 2002</t>
  </si>
  <si>
    <t>NIH8</t>
  </si>
  <si>
    <t>o  January 1, 2003 through December 31, 2003</t>
  </si>
  <si>
    <t>NIH9</t>
  </si>
  <si>
    <t>o  January 1, 2004 - March 3, 2004</t>
  </si>
  <si>
    <t>o  March 2, 2004 through December 31, 2004</t>
  </si>
  <si>
    <t>NIH10</t>
  </si>
  <si>
    <t xml:space="preserve">o  January 1, 2005 and beyond </t>
  </si>
  <si>
    <t>NIH11</t>
  </si>
  <si>
    <t xml:space="preserve">o  January 1, 2006 and beyond </t>
  </si>
  <si>
    <t>NIH12</t>
  </si>
  <si>
    <t xml:space="preserve">o  January 1, 2007 and beyond </t>
  </si>
  <si>
    <t xml:space="preserve">The typical appointment for non-Medical College faculty is 32 weeks, usually referred to as "9 month" or "academic year". Per the AAUP agreement they may also earn an additional 14 weeks of salary during their recess period, typically the summer quarter. </t>
  </si>
  <si>
    <t>Enter 32 week salary base here</t>
  </si>
  <si>
    <t>recess period base</t>
  </si>
  <si>
    <t>Percent of Time &amp; Effort to Person Months (PM)</t>
  </si>
  <si>
    <t>Interactive Conversion Table for the University of Cincinnati</t>
  </si>
  <si>
    <t>EXC</t>
  </si>
  <si>
    <t>9 Month</t>
  </si>
  <si>
    <t>12 Month</t>
  </si>
  <si>
    <t>Recess</t>
  </si>
  <si>
    <t>Academic Year</t>
  </si>
  <si>
    <t>Calendar Year</t>
  </si>
  <si>
    <t xml:space="preserve">  % effort </t>
  </si>
  <si>
    <t xml:space="preserve">         PM</t>
  </si>
  <si>
    <t xml:space="preserve"> % effort</t>
  </si>
  <si>
    <t xml:space="preserve">  % effort</t>
  </si>
  <si>
    <t xml:space="preserve">        PM</t>
  </si>
  <si>
    <t>Instructions:</t>
  </si>
  <si>
    <t>To use the chart simply insert the percent effort that you want to convert into the -0- of the Recess % effort line and</t>
  </si>
  <si>
    <t>hit enter.  The person month 9 and 12 will be displayed simultaneously.</t>
  </si>
  <si>
    <t xml:space="preserve">There are three basic salary (wage) bases: Calendar Year, Academic Year and Summer (Recess) Term. Here is a month/week/days   </t>
  </si>
  <si>
    <t>breakout for each:</t>
  </si>
  <si>
    <t>Academic Year (AY)</t>
  </si>
  <si>
    <t>32 weeks</t>
  </si>
  <si>
    <t>EXC Recess</t>
  </si>
  <si>
    <t>14 weeks</t>
  </si>
  <si>
    <t xml:space="preserve">Calendar Year (CY) </t>
  </si>
  <si>
    <t>52 weeks</t>
  </si>
  <si>
    <t>To fill out the budget forms for the SF 424 R&amp;R grantees will need to convert percent-of-effort to person-months.  Below are</t>
  </si>
  <si>
    <t>a three examples of how person-months are applied:</t>
  </si>
  <si>
    <t>Example 1:</t>
  </si>
  <si>
    <t xml:space="preserve">A PI with EXC Recess at a salary of $27,563 ($63,000*(14/32). </t>
  </si>
  <si>
    <t>25% of EXC Recess effort would equate to 0.81 person-months (14 weeks x.25 effort/4.333 [average number of weeks per month]).</t>
  </si>
  <si>
    <t>The budget figure for that effort would be $6,891 (27,563 multiplied by .25 effort).</t>
  </si>
  <si>
    <t>Example 2:</t>
  </si>
  <si>
    <t xml:space="preserve">A PI on an AY appointment at a salary of $63,000.  </t>
  </si>
  <si>
    <t>25% of AY effort would equate to 1.85 person-months (32 weeks x.25 effort/4.333 [average number of weeks per month]).</t>
  </si>
  <si>
    <t>The budget figure for that effort would be $15,750 (63,000 multiplied by .25 effort).</t>
  </si>
  <si>
    <t>Example 3:</t>
  </si>
  <si>
    <t xml:space="preserve">A PI on an CY appointment at a salary of $72,000.  </t>
  </si>
  <si>
    <t>25% of CY effort would equate to 3.00 person-months (52 weeks x.25 effort/4.333 [average number of weeks per month]).</t>
  </si>
  <si>
    <t>The budget figure for that effort would be $18,000 (72,000 multiplied by .25 effort).</t>
  </si>
  <si>
    <t xml:space="preserve">Special F&amp;A Rate : </t>
  </si>
  <si>
    <t>Go to the "Indirect Data" section at the bottom of the worksheet and enter the indirect data relative to your project</t>
  </si>
  <si>
    <t>Change the letters/numbers in blue as appropriate</t>
  </si>
  <si>
    <t>Return to Row 4</t>
  </si>
  <si>
    <t xml:space="preserve">Academic and Recess cap together </t>
  </si>
  <si>
    <t>Sal</t>
  </si>
  <si>
    <t>FB</t>
  </si>
  <si>
    <t>Total</t>
  </si>
  <si>
    <t>Sub Totals</t>
  </si>
  <si>
    <t xml:space="preserve">4 Year Budget </t>
  </si>
  <si>
    <t xml:space="preserve">3 Year Budget </t>
  </si>
  <si>
    <t xml:space="preserve">2 Year Budget </t>
  </si>
  <si>
    <t xml:space="preserve">1 Year Budget </t>
  </si>
  <si>
    <t>FY17</t>
  </si>
  <si>
    <t>FY 17</t>
  </si>
  <si>
    <t>FY18</t>
  </si>
  <si>
    <t>7/16-6/17</t>
  </si>
  <si>
    <t>LAM</t>
  </si>
  <si>
    <t>FY19</t>
  </si>
  <si>
    <t>FY 18</t>
  </si>
  <si>
    <t>7/1/2017 - 6/30/18</t>
  </si>
  <si>
    <t>Indirect Cost Rates (on Campus)</t>
  </si>
  <si>
    <t>Research Indirect Costs</t>
  </si>
  <si>
    <t>Instruction Indirect Costs</t>
  </si>
  <si>
    <t>Public Service Indirect Costs</t>
  </si>
  <si>
    <t>Indirect Cost Rates (off Campus)</t>
  </si>
  <si>
    <t>Research F&amp;A</t>
  </si>
  <si>
    <t>Instruction F&amp;A</t>
  </si>
  <si>
    <t>PS F&amp;A</t>
  </si>
  <si>
    <t>Detailed F&amp;A figures for prorated rates</t>
  </si>
  <si>
    <t>*If both lines have the same rate, then just list as one line on forms.</t>
  </si>
  <si>
    <t xml:space="preserve">Fiscal Year : </t>
  </si>
  <si>
    <t xml:space="preserve">Fiscal Year Base Period : </t>
  </si>
  <si>
    <t>7/17-6/18</t>
  </si>
  <si>
    <t>7/18-6/19</t>
  </si>
  <si>
    <t>FY20</t>
  </si>
  <si>
    <t>FY 19</t>
  </si>
  <si>
    <t>FY 20</t>
  </si>
  <si>
    <t>Indirect Cost Rates (off Campus &amp; for Sub-Contracts $25,000 or less)</t>
  </si>
  <si>
    <t>Recess Cap</t>
  </si>
  <si>
    <t>`</t>
  </si>
  <si>
    <t>7/19-6/20</t>
  </si>
  <si>
    <t>FY21</t>
  </si>
  <si>
    <t>o  January 1, 2009 to December 31, 2009</t>
  </si>
  <si>
    <t>o  January 1, 2010 to December 23, 2011</t>
  </si>
  <si>
    <t>o  January 1, 2008 to December 31, 2008</t>
  </si>
  <si>
    <t>o  January 12, 2014 to January 10, 2015</t>
  </si>
  <si>
    <t>FY22</t>
  </si>
  <si>
    <t>FY 21</t>
  </si>
  <si>
    <t>7/1/2016 - 6/30/17</t>
  </si>
  <si>
    <t>7/1/2018 - 6/30/19</t>
  </si>
  <si>
    <t>7/1/2019 - 6/30/20</t>
  </si>
  <si>
    <t>7/1/2020 - 6/30/21</t>
  </si>
  <si>
    <t>7/20-6/21</t>
  </si>
  <si>
    <t>o  January 11, 2015 to January 09, 2016</t>
  </si>
  <si>
    <t>DHHS Salary Caps</t>
  </si>
  <si>
    <t>o  December 24, 2011 to January 11, 2014</t>
  </si>
  <si>
    <t>FY 22</t>
  </si>
  <si>
    <t>7/1/2021 - 6/30/22</t>
  </si>
  <si>
    <t>FY23</t>
  </si>
  <si>
    <t>7/21-6/22</t>
  </si>
  <si>
    <t>7/22-6/23</t>
  </si>
  <si>
    <t>FY24</t>
  </si>
  <si>
    <t>FY 23</t>
  </si>
  <si>
    <t>7/1/2016 - 6/30/18</t>
  </si>
  <si>
    <t>o  January 10, 2016 to January 7, 2017</t>
  </si>
  <si>
    <t xml:space="preserve">o  January 8, 2017 and beyond </t>
  </si>
  <si>
    <t>Last Revised: 3/20/17</t>
  </si>
  <si>
    <t>Last Revised: 4/11/17</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</si>
</sst>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Red]\-General_)"/>
    <numFmt numFmtId="165" formatCode="mm/dd/yy_)"/>
    <numFmt numFmtId="166" formatCode="0.00%;[Red]\-0.00%"/>
    <numFmt numFmtId="167" formatCode="_(* #,##0.0_);_(* \(#,##0.0\);_(* &quot;-&quot;??_);_(@_)"/>
    <numFmt numFmtId="168" formatCode="_(* #,##0_);_(* \(#,##0\);_(* &quot;-&quot;??_);_(@_)"/>
    <numFmt numFmtId="169" formatCode="_(&quot;$&quot;* #,##0.0_);_(&quot;$&quot;* \(#,##0.0\);_(&quot;$&quot;* &quot;-&quot;??_);_(@_)"/>
    <numFmt numFmtId="170" formatCode="_(&quot;$&quot;* #,##0_);_(&quot;$&quot;* \(#,##0\);_(&quot;$&quot;* &quot;-&quot;??_);_(@_)"/>
    <numFmt numFmtId="171" formatCode="0.0%"/>
    <numFmt numFmtId="172" formatCode="0.0000%"/>
    <numFmt numFmtId="173" formatCode="0.000%"/>
    <numFmt numFmtId="174" formatCode="mm/dd/yy"/>
    <numFmt numFmtId="175" formatCode="mm/dd/yy\ h:mm"/>
    <numFmt numFmtId="176" formatCode="General_)"/>
    <numFmt numFmtId="177" formatCode="0.00_)"/>
    <numFmt numFmtId="178" formatCode="00"/>
    <numFmt numFmtId="179" formatCode="mm/dd/yy\ h:mm:ss"/>
    <numFmt numFmtId="180" formatCode="&quot;$&quot;#,##0"/>
    <numFmt numFmtId="181" formatCode="0.000"/>
    <numFmt numFmtId="182" formatCode="0.000_)"/>
    <numFmt numFmtId="183" formatCode="_(* #,##0.00000_);_(* \(#,##0.00000\);_(* &quot;-&quot;?????_);_(@_)"/>
    <numFmt numFmtId="184" formatCode="&quot;(&quot;\ &quot;$&quot;\ #,##0.00\ &quot;/ hour )&quot;"/>
    <numFmt numFmtId="185" formatCode="[$-409]dddd\,\ mmmm\ dd\,\ yyyy"/>
    <numFmt numFmtId="186" formatCode="mm/dd/yy;@"/>
    <numFmt numFmtId="187" formatCode="m/d/yy;@"/>
    <numFmt numFmtId="188" formatCode="&quot;Yes&quot;;&quot;Yes&quot;;&quot;No&quot;"/>
    <numFmt numFmtId="189" formatCode="&quot;True&quot;;&quot;True&quot;;&quot;False&quot;"/>
    <numFmt numFmtId="190" formatCode="&quot;On&quot;;&quot;On&quot;;&quot;Off&quot;"/>
    <numFmt numFmtId="191" formatCode="[$€-2]\ #,##0.00_);[Red]\([$€-2]\ #,##0.00\)"/>
    <numFmt numFmtId="192" formatCode="mmm\-yyyy"/>
    <numFmt numFmtId="193" formatCode="0.0_)"/>
    <numFmt numFmtId="194" formatCode="#,##0.0_);\(#,##0.0\)"/>
    <numFmt numFmtId="195" formatCode="0.0000000"/>
    <numFmt numFmtId="196" formatCode="0.000000"/>
    <numFmt numFmtId="197" formatCode="0.00000"/>
    <numFmt numFmtId="198" formatCode="0.0000"/>
    <numFmt numFmtId="199" formatCode="0.0"/>
    <numFmt numFmtId="200" formatCode="#,##0.0_);[Red]\(#,##0.0\)"/>
  </numFmts>
  <fonts count="106">
    <font>
      <sz val="12"/>
      <name val="Times New Roman"/>
      <family val="0"/>
    </font>
    <font>
      <b/>
      <sz val="10"/>
      <name val="Arial"/>
      <family val="0"/>
    </font>
    <font>
      <i/>
      <sz val="10"/>
      <name val="Arial"/>
      <family val="0"/>
    </font>
    <font>
      <b/>
      <i/>
      <sz val="10"/>
      <name val="Arial"/>
      <family val="0"/>
    </font>
    <font>
      <sz val="10"/>
      <name val="Arial"/>
      <family val="2"/>
    </font>
    <font>
      <sz val="12"/>
      <color indexed="12"/>
      <name val="Times New Roman"/>
      <family val="1"/>
    </font>
    <font>
      <b/>
      <sz val="14"/>
      <name val="Times New Roman"/>
      <family val="1"/>
    </font>
    <font>
      <b/>
      <sz val="12"/>
      <name val="Times New Roman"/>
      <family val="1"/>
    </font>
    <font>
      <u val="single"/>
      <sz val="12"/>
      <name val="Times New Roman"/>
      <family val="1"/>
    </font>
    <font>
      <i/>
      <sz val="12"/>
      <name val="Times New Roman"/>
      <family val="1"/>
    </font>
    <font>
      <b/>
      <i/>
      <sz val="12"/>
      <name val="Times New Roman"/>
      <family val="1"/>
    </font>
    <font>
      <b/>
      <u val="single"/>
      <sz val="12"/>
      <name val="Times New Roman"/>
      <family val="1"/>
    </font>
    <font>
      <b/>
      <u val="single"/>
      <sz val="14"/>
      <name val="Times New Roman"/>
      <family val="1"/>
    </font>
    <font>
      <sz val="12"/>
      <name val="Arial"/>
      <family val="2"/>
    </font>
    <font>
      <b/>
      <sz val="12"/>
      <name val="Arial"/>
      <family val="2"/>
    </font>
    <font>
      <sz val="11"/>
      <name val="Times New Roman"/>
      <family val="1"/>
    </font>
    <font>
      <b/>
      <sz val="13"/>
      <name val="Arial"/>
      <family val="2"/>
    </font>
    <font>
      <sz val="11"/>
      <color indexed="12"/>
      <name val="Times New Roman"/>
      <family val="1"/>
    </font>
    <font>
      <sz val="12"/>
      <color indexed="10"/>
      <name val="Times New Roman"/>
      <family val="1"/>
    </font>
    <font>
      <i/>
      <sz val="12"/>
      <color indexed="12"/>
      <name val="Times New Roman"/>
      <family val="1"/>
    </font>
    <font>
      <sz val="10"/>
      <color indexed="12"/>
      <name val="Arial"/>
      <family val="2"/>
    </font>
    <font>
      <b/>
      <sz val="14"/>
      <color indexed="10"/>
      <name val="Times New Roman"/>
      <family val="1"/>
    </font>
    <font>
      <u val="single"/>
      <sz val="7.5"/>
      <color indexed="36"/>
      <name val="Courier"/>
      <family val="3"/>
    </font>
    <font>
      <u val="single"/>
      <sz val="7.5"/>
      <color indexed="12"/>
      <name val="Courier"/>
      <family val="3"/>
    </font>
    <font>
      <sz val="12"/>
      <name val="SWISS"/>
      <family val="0"/>
    </font>
    <font>
      <sz val="10"/>
      <name val="Tahoma"/>
      <family val="2"/>
    </font>
    <font>
      <i/>
      <sz val="14"/>
      <name val="Brush Script MT"/>
      <family val="4"/>
    </font>
    <font>
      <b/>
      <sz val="12"/>
      <color indexed="14"/>
      <name val="Arial"/>
      <family val="2"/>
    </font>
    <font>
      <sz val="12"/>
      <color indexed="8"/>
      <name val="Arial"/>
      <family val="2"/>
    </font>
    <font>
      <sz val="12"/>
      <color indexed="10"/>
      <name val="SWISS"/>
      <family val="0"/>
    </font>
    <font>
      <sz val="8"/>
      <name val="Times New Roman"/>
      <family val="1"/>
    </font>
    <font>
      <sz val="10"/>
      <name val="MS Sans Serif"/>
      <family val="2"/>
    </font>
    <font>
      <sz val="8"/>
      <name val="Courier"/>
      <family val="3"/>
    </font>
    <font>
      <b/>
      <u val="single"/>
      <sz val="12"/>
      <color indexed="56"/>
      <name val="Times New Roman"/>
      <family val="1"/>
    </font>
    <font>
      <b/>
      <sz val="12"/>
      <color indexed="56"/>
      <name val="Times New Roman"/>
      <family val="1"/>
    </font>
    <font>
      <b/>
      <sz val="12"/>
      <color indexed="50"/>
      <name val="Times New Roman"/>
      <family val="1"/>
    </font>
    <font>
      <b/>
      <sz val="12"/>
      <color indexed="8"/>
      <name val="Times New Roman"/>
      <family val="1"/>
    </font>
    <font>
      <b/>
      <sz val="12"/>
      <name val="Tahoma"/>
      <family val="2"/>
    </font>
    <font>
      <b/>
      <sz val="10"/>
      <name val="Tahoma"/>
      <family val="2"/>
    </font>
    <font>
      <sz val="9"/>
      <color indexed="20"/>
      <name val="Arial"/>
      <family val="2"/>
    </font>
    <font>
      <sz val="9"/>
      <name val="Arial"/>
      <family val="2"/>
    </font>
    <font>
      <u val="single"/>
      <sz val="9"/>
      <color indexed="20"/>
      <name val="Arial"/>
      <family val="2"/>
    </font>
    <font>
      <b/>
      <sz val="9"/>
      <name val="Arial"/>
      <family val="2"/>
    </font>
    <font>
      <b/>
      <sz val="9"/>
      <color indexed="10"/>
      <name val="Arial"/>
      <family val="2"/>
    </font>
    <font>
      <sz val="9"/>
      <name val="Times New Roman"/>
      <family val="1"/>
    </font>
    <font>
      <sz val="8"/>
      <name val="Arial"/>
      <family val="2"/>
    </font>
    <font>
      <sz val="12"/>
      <color indexed="9"/>
      <name val="Times New Roman"/>
      <family val="1"/>
    </font>
    <font>
      <b/>
      <sz val="10"/>
      <name val="Courier"/>
      <family val="3"/>
    </font>
    <font>
      <sz val="10"/>
      <name val="Courier"/>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color indexed="10"/>
      <name val="Times New Roman"/>
      <family val="1"/>
    </font>
    <font>
      <sz val="12"/>
      <color indexed="10"/>
      <name val="Arial"/>
      <family val="2"/>
    </font>
    <font>
      <b/>
      <sz val="12"/>
      <color indexed="10"/>
      <name val="Arial"/>
      <family val="2"/>
    </font>
    <font>
      <b/>
      <sz val="13"/>
      <color indexed="10"/>
      <name val="Arial"/>
      <family val="2"/>
    </font>
    <font>
      <sz val="10"/>
      <color indexed="10"/>
      <name val="Arial"/>
      <family val="2"/>
    </font>
    <font>
      <sz val="12"/>
      <color indexed="17"/>
      <name val="Times New Roman"/>
      <family val="1"/>
    </font>
    <font>
      <sz val="12"/>
      <color indexed="17"/>
      <name val="Arial"/>
      <family val="2"/>
    </font>
    <font>
      <b/>
      <sz val="12"/>
      <color indexed="17"/>
      <name val="Times New Roman"/>
      <family val="1"/>
    </font>
    <font>
      <b/>
      <sz val="12"/>
      <color indexed="17"/>
      <name val="Arial"/>
      <family val="2"/>
    </font>
    <font>
      <b/>
      <sz val="13"/>
      <color indexed="17"/>
      <name val="Arial"/>
      <family val="2"/>
    </font>
    <font>
      <sz val="10"/>
      <color indexed="1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b/>
      <sz val="12"/>
      <color rgb="FFFF0000"/>
      <name val="Times New Roman"/>
      <family val="1"/>
    </font>
    <font>
      <sz val="12"/>
      <color rgb="FFFF0000"/>
      <name val="Arial"/>
      <family val="2"/>
    </font>
    <font>
      <b/>
      <sz val="12"/>
      <color rgb="FFFF0000"/>
      <name val="Arial"/>
      <family val="2"/>
    </font>
    <font>
      <b/>
      <sz val="13"/>
      <color rgb="FFFF0000"/>
      <name val="Arial"/>
      <family val="2"/>
    </font>
    <font>
      <sz val="10"/>
      <color rgb="FFFF0000"/>
      <name val="Arial"/>
      <family val="2"/>
    </font>
    <font>
      <sz val="12"/>
      <color rgb="FF006600"/>
      <name val="Times New Roman"/>
      <family val="1"/>
    </font>
    <font>
      <sz val="12"/>
      <color rgb="FF006600"/>
      <name val="Arial"/>
      <family val="2"/>
    </font>
    <font>
      <b/>
      <sz val="12"/>
      <color rgb="FF006600"/>
      <name val="Times New Roman"/>
      <family val="1"/>
    </font>
    <font>
      <b/>
      <sz val="12"/>
      <color rgb="FF006600"/>
      <name val="Arial"/>
      <family val="2"/>
    </font>
    <font>
      <b/>
      <sz val="13"/>
      <color rgb="FF006600"/>
      <name val="Arial"/>
      <family val="2"/>
    </font>
    <font>
      <sz val="10"/>
      <color rgb="FF006600"/>
      <name val="Arial"/>
      <family val="2"/>
    </font>
    <font>
      <b/>
      <sz val="8"/>
      <name val="Times New Roman"/>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13"/>
        <bgColor indexed="64"/>
      </patternFill>
    </fill>
    <fill>
      <patternFill patternType="solid">
        <fgColor indexed="50"/>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4" fillId="0" borderId="0">
      <alignment/>
      <protection/>
    </xf>
    <xf numFmtId="41" fontId="4" fillId="0" borderId="0" applyFont="0" applyFill="0" applyBorder="0" applyAlignment="0" applyProtection="0"/>
    <xf numFmtId="43" fontId="4" fillId="0" borderId="0">
      <alignment/>
      <protection/>
    </xf>
    <xf numFmtId="40" fontId="31" fillId="0" borderId="0" applyFont="0" applyFill="0" applyBorder="0" applyAlignment="0" applyProtection="0"/>
    <xf numFmtId="40" fontId="31"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8" fontId="31" fillId="0" borderId="0" applyFont="0" applyFill="0" applyBorder="0" applyAlignment="0" applyProtection="0"/>
    <xf numFmtId="0" fontId="81" fillId="0" borderId="0" applyNumberFormat="0" applyFill="0" applyBorder="0" applyAlignment="0" applyProtection="0"/>
    <xf numFmtId="0" fontId="22"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23"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0" borderId="0">
      <alignment/>
      <protection/>
    </xf>
    <xf numFmtId="176" fontId="48" fillId="0" borderId="0">
      <alignment/>
      <protection/>
    </xf>
    <xf numFmtId="0" fontId="24" fillId="0" borderId="0">
      <alignment/>
      <protection/>
    </xf>
    <xf numFmtId="0" fontId="0" fillId="0" borderId="0">
      <alignment/>
      <protection/>
    </xf>
    <xf numFmtId="0" fontId="24" fillId="0" borderId="0">
      <alignment/>
      <protection/>
    </xf>
    <xf numFmtId="0" fontId="4" fillId="0" borderId="0">
      <alignment/>
      <protection/>
    </xf>
    <xf numFmtId="0" fontId="0" fillId="32" borderId="7" applyNumberFormat="0" applyFont="0" applyAlignment="0" applyProtection="0"/>
    <xf numFmtId="0" fontId="89" fillId="27"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31"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335">
    <xf numFmtId="0" fontId="0" fillId="0" borderId="0" xfId="0" applyAlignment="1">
      <alignment/>
    </xf>
    <xf numFmtId="164" fontId="0" fillId="0" borderId="0" xfId="0" applyNumberFormat="1" applyAlignment="1" applyProtection="1">
      <alignment/>
      <protection/>
    </xf>
    <xf numFmtId="6" fontId="0" fillId="0" borderId="0" xfId="0" applyNumberFormat="1" applyAlignment="1" applyProtection="1">
      <alignment/>
      <protection/>
    </xf>
    <xf numFmtId="0" fontId="5" fillId="0" borderId="0" xfId="0" applyFont="1" applyAlignment="1" applyProtection="1">
      <alignment/>
      <protection locked="0"/>
    </xf>
    <xf numFmtId="165" fontId="0" fillId="0" borderId="0" xfId="0" applyNumberFormat="1" applyAlignment="1" applyProtection="1">
      <alignment/>
      <protection/>
    </xf>
    <xf numFmtId="38" fontId="0" fillId="0" borderId="0" xfId="0" applyNumberFormat="1" applyAlignment="1" applyProtection="1">
      <alignment/>
      <protection/>
    </xf>
    <xf numFmtId="37" fontId="0" fillId="0" borderId="0" xfId="0" applyNumberFormat="1" applyAlignment="1" applyProtection="1">
      <alignment/>
      <protection/>
    </xf>
    <xf numFmtId="166" fontId="0" fillId="0" borderId="0" xfId="0" applyNumberFormat="1" applyAlignment="1" applyProtection="1">
      <alignment/>
      <protection/>
    </xf>
    <xf numFmtId="5" fontId="0" fillId="0" borderId="0" xfId="0" applyNumberFormat="1" applyAlignment="1" applyProtection="1">
      <alignment/>
      <protection/>
    </xf>
    <xf numFmtId="10" fontId="5" fillId="0" borderId="0" xfId="0" applyNumberFormat="1" applyFont="1" applyAlignment="1" applyProtection="1">
      <alignment/>
      <protection locked="0"/>
    </xf>
    <xf numFmtId="0" fontId="5" fillId="0" borderId="0" xfId="0" applyFont="1" applyAlignment="1" applyProtection="1">
      <alignment horizontal="left"/>
      <protection locked="0"/>
    </xf>
    <xf numFmtId="6" fontId="0" fillId="0" borderId="0" xfId="0" applyNumberFormat="1" applyAlignment="1" applyProtection="1">
      <alignment horizontal="center"/>
      <protection/>
    </xf>
    <xf numFmtId="0" fontId="0" fillId="0" borderId="0" xfId="0" applyAlignment="1">
      <alignment horizontal="center"/>
    </xf>
    <xf numFmtId="164" fontId="0" fillId="0" borderId="0" xfId="0" applyNumberFormat="1" applyAlignment="1" applyProtection="1">
      <alignment horizontal="left"/>
      <protection/>
    </xf>
    <xf numFmtId="0" fontId="0" fillId="0" borderId="0" xfId="0" applyAlignment="1">
      <alignment horizontal="left"/>
    </xf>
    <xf numFmtId="0" fontId="5" fillId="0" borderId="0" xfId="0" applyFont="1" applyAlignment="1" applyProtection="1">
      <alignment horizontal="center"/>
      <protection locked="0"/>
    </xf>
    <xf numFmtId="6" fontId="0" fillId="0" borderId="0" xfId="0" applyNumberFormat="1" applyAlignment="1" applyProtection="1">
      <alignment horizontal="left"/>
      <protection/>
    </xf>
    <xf numFmtId="164" fontId="6" fillId="0" borderId="0" xfId="0" applyNumberFormat="1" applyFont="1" applyAlignment="1" applyProtection="1">
      <alignment horizontal="centerContinuous"/>
      <protection/>
    </xf>
    <xf numFmtId="164" fontId="0" fillId="0" borderId="0" xfId="0" applyNumberFormat="1" applyAlignment="1" applyProtection="1">
      <alignment horizontal="centerContinuous"/>
      <protection/>
    </xf>
    <xf numFmtId="6" fontId="0" fillId="0" borderId="0" xfId="0" applyNumberFormat="1" applyAlignment="1" applyProtection="1">
      <alignment horizontal="centerContinuous"/>
      <protection/>
    </xf>
    <xf numFmtId="0" fontId="7" fillId="0" borderId="0" xfId="0" applyFont="1" applyAlignment="1">
      <alignment horizontal="right"/>
    </xf>
    <xf numFmtId="164" fontId="7" fillId="0" borderId="0" xfId="0" applyNumberFormat="1" applyFont="1" applyAlignment="1" applyProtection="1">
      <alignment/>
      <protection/>
    </xf>
    <xf numFmtId="164" fontId="7" fillId="0" borderId="0" xfId="0" applyNumberFormat="1" applyFont="1" applyAlignment="1" applyProtection="1">
      <alignment horizontal="left"/>
      <protection/>
    </xf>
    <xf numFmtId="164" fontId="8" fillId="0" borderId="0" xfId="0" applyNumberFormat="1" applyFont="1" applyAlignment="1" applyProtection="1">
      <alignment horizontal="left"/>
      <protection/>
    </xf>
    <xf numFmtId="164" fontId="8" fillId="0" borderId="0" xfId="0" applyNumberFormat="1" applyFont="1" applyAlignment="1" applyProtection="1">
      <alignment/>
      <protection/>
    </xf>
    <xf numFmtId="164" fontId="9" fillId="0" borderId="0" xfId="0" applyNumberFormat="1" applyFont="1" applyAlignment="1" applyProtection="1">
      <alignment horizontal="right"/>
      <protection/>
    </xf>
    <xf numFmtId="164" fontId="9" fillId="0" borderId="0" xfId="0" applyNumberFormat="1" applyFont="1" applyAlignment="1" applyProtection="1">
      <alignment/>
      <protection/>
    </xf>
    <xf numFmtId="164" fontId="10" fillId="0" borderId="0" xfId="0" applyNumberFormat="1" applyFont="1" applyAlignment="1" applyProtection="1">
      <alignment horizontal="right"/>
      <protection/>
    </xf>
    <xf numFmtId="164" fontId="10" fillId="0" borderId="0" xfId="0" applyNumberFormat="1" applyFont="1" applyAlignment="1" applyProtection="1">
      <alignment/>
      <protection/>
    </xf>
    <xf numFmtId="37" fontId="7" fillId="0" borderId="0" xfId="0" applyNumberFormat="1" applyFont="1" applyAlignment="1" applyProtection="1">
      <alignment/>
      <protection/>
    </xf>
    <xf numFmtId="0" fontId="9" fillId="0" borderId="0" xfId="0" applyFont="1" applyAlignment="1">
      <alignment/>
    </xf>
    <xf numFmtId="0" fontId="7" fillId="0" borderId="0" xfId="0" applyFont="1" applyAlignment="1">
      <alignment/>
    </xf>
    <xf numFmtId="164" fontId="10" fillId="0" borderId="0" xfId="0" applyNumberFormat="1" applyFont="1" applyAlignment="1" applyProtection="1">
      <alignment horizontal="centerContinuous"/>
      <protection/>
    </xf>
    <xf numFmtId="164" fontId="11" fillId="0" borderId="0" xfId="0" applyNumberFormat="1" applyFont="1" applyAlignment="1" applyProtection="1">
      <alignment horizontal="left"/>
      <protection/>
    </xf>
    <xf numFmtId="38" fontId="7" fillId="0" borderId="0" xfId="0" applyNumberFormat="1" applyFont="1" applyAlignment="1" applyProtection="1">
      <alignment/>
      <protection/>
    </xf>
    <xf numFmtId="0" fontId="10" fillId="0" borderId="0" xfId="0" applyFont="1" applyAlignment="1">
      <alignment/>
    </xf>
    <xf numFmtId="0" fontId="11" fillId="0" borderId="0" xfId="0" applyFont="1" applyAlignment="1">
      <alignment horizontal="left"/>
    </xf>
    <xf numFmtId="5" fontId="0" fillId="0" borderId="0" xfId="0" applyNumberFormat="1" applyAlignment="1" applyProtection="1">
      <alignment horizontal="centerContinuous"/>
      <protection/>
    </xf>
    <xf numFmtId="6" fontId="6" fillId="0" borderId="0" xfId="0" applyNumberFormat="1" applyFont="1" applyAlignment="1" applyProtection="1">
      <alignment horizontal="left"/>
      <protection/>
    </xf>
    <xf numFmtId="164" fontId="7" fillId="0" borderId="0" xfId="0" applyNumberFormat="1" applyFont="1" applyAlignment="1" applyProtection="1">
      <alignment horizontal="centerContinuous"/>
      <protection/>
    </xf>
    <xf numFmtId="164" fontId="10" fillId="0" borderId="0" xfId="0" applyNumberFormat="1" applyFont="1" applyAlignment="1" applyProtection="1">
      <alignment horizontal="left"/>
      <protection/>
    </xf>
    <xf numFmtId="164" fontId="0" fillId="0" borderId="0" xfId="0" applyNumberFormat="1" applyAlignment="1" applyProtection="1">
      <alignment horizontal="center"/>
      <protection/>
    </xf>
    <xf numFmtId="168" fontId="13" fillId="0" borderId="0" xfId="42" applyNumberFormat="1" applyFont="1">
      <alignment/>
      <protection/>
    </xf>
    <xf numFmtId="168" fontId="13" fillId="0" borderId="10" xfId="42" applyNumberFormat="1" applyFont="1" applyBorder="1">
      <alignment/>
      <protection/>
    </xf>
    <xf numFmtId="38" fontId="14" fillId="0" borderId="0" xfId="0" applyNumberFormat="1" applyFont="1" applyAlignment="1" applyProtection="1">
      <alignment/>
      <protection/>
    </xf>
    <xf numFmtId="38" fontId="13" fillId="0" borderId="0" xfId="0" applyNumberFormat="1" applyFont="1" applyAlignment="1" applyProtection="1">
      <alignment horizontal="left"/>
      <protection/>
    </xf>
    <xf numFmtId="37" fontId="13" fillId="0" borderId="0" xfId="0" applyNumberFormat="1" applyFont="1" applyAlignment="1" applyProtection="1">
      <alignment/>
      <protection/>
    </xf>
    <xf numFmtId="168" fontId="14" fillId="0" borderId="0" xfId="42" applyNumberFormat="1" applyFont="1" applyProtection="1">
      <alignment/>
      <protection/>
    </xf>
    <xf numFmtId="37" fontId="14" fillId="0" borderId="0" xfId="0" applyNumberFormat="1" applyFont="1" applyAlignment="1" applyProtection="1">
      <alignment/>
      <protection/>
    </xf>
    <xf numFmtId="6" fontId="13" fillId="0" borderId="0" xfId="0" applyNumberFormat="1" applyFont="1" applyAlignment="1" applyProtection="1">
      <alignment/>
      <protection/>
    </xf>
    <xf numFmtId="38" fontId="13" fillId="0" borderId="0" xfId="0" applyNumberFormat="1" applyFont="1" applyAlignment="1" applyProtection="1">
      <alignment/>
      <protection/>
    </xf>
    <xf numFmtId="168" fontId="13" fillId="0" borderId="11" xfId="42" applyNumberFormat="1" applyFont="1" applyBorder="1" applyProtection="1">
      <alignment/>
      <protection/>
    </xf>
    <xf numFmtId="168" fontId="13" fillId="0" borderId="0" xfId="42" applyNumberFormat="1" applyFont="1" applyProtection="1">
      <alignment/>
      <protection/>
    </xf>
    <xf numFmtId="168" fontId="14" fillId="0" borderId="11" xfId="42" applyNumberFormat="1" applyFont="1" applyBorder="1" applyProtection="1">
      <alignment/>
      <protection/>
    </xf>
    <xf numFmtId="168" fontId="13" fillId="0" borderId="0" xfId="42" applyNumberFormat="1" applyFont="1" applyAlignment="1" applyProtection="1">
      <alignment horizontal="left"/>
      <protection/>
    </xf>
    <xf numFmtId="168" fontId="14" fillId="0" borderId="10" xfId="42" applyNumberFormat="1" applyFont="1" applyBorder="1">
      <alignment/>
      <protection/>
    </xf>
    <xf numFmtId="0" fontId="13" fillId="0" borderId="0" xfId="0" applyFont="1" applyAlignment="1">
      <alignment/>
    </xf>
    <xf numFmtId="164" fontId="13" fillId="0" borderId="0" xfId="0" applyNumberFormat="1" applyFont="1" applyAlignment="1" applyProtection="1">
      <alignment/>
      <protection/>
    </xf>
    <xf numFmtId="5" fontId="13" fillId="0" borderId="0" xfId="0" applyNumberFormat="1" applyFont="1" applyAlignment="1" applyProtection="1">
      <alignment/>
      <protection/>
    </xf>
    <xf numFmtId="170" fontId="15" fillId="0" borderId="0" xfId="47" applyNumberFormat="1" applyFont="1" applyAlignment="1">
      <alignment/>
    </xf>
    <xf numFmtId="164" fontId="12" fillId="0" borderId="0" xfId="0" applyNumberFormat="1" applyFont="1" applyAlignment="1" applyProtection="1">
      <alignment/>
      <protection/>
    </xf>
    <xf numFmtId="168" fontId="14" fillId="0" borderId="0" xfId="42" applyNumberFormat="1" applyFont="1" applyBorder="1" applyProtection="1">
      <alignment/>
      <protection/>
    </xf>
    <xf numFmtId="38" fontId="14" fillId="0" borderId="0" xfId="0" applyNumberFormat="1" applyFont="1" applyBorder="1" applyAlignment="1" applyProtection="1">
      <alignment/>
      <protection/>
    </xf>
    <xf numFmtId="164" fontId="7" fillId="0" borderId="0" xfId="0" applyNumberFormat="1" applyFont="1" applyAlignment="1" applyProtection="1">
      <alignment horizontal="right"/>
      <protection/>
    </xf>
    <xf numFmtId="43" fontId="13" fillId="0" borderId="0" xfId="42" applyFont="1">
      <alignment/>
      <protection/>
    </xf>
    <xf numFmtId="38" fontId="16" fillId="0" borderId="0" xfId="0" applyNumberFormat="1" applyFont="1" applyAlignment="1" applyProtection="1">
      <alignment/>
      <protection/>
    </xf>
    <xf numFmtId="168" fontId="16" fillId="0" borderId="0" xfId="42" applyNumberFormat="1" applyFont="1">
      <alignment/>
      <protection/>
    </xf>
    <xf numFmtId="168" fontId="13" fillId="0" borderId="0" xfId="0" applyNumberFormat="1" applyFont="1" applyAlignment="1" applyProtection="1">
      <alignment/>
      <protection/>
    </xf>
    <xf numFmtId="10" fontId="0" fillId="0" borderId="0" xfId="70" applyNumberFormat="1" applyFont="1" applyAlignment="1">
      <alignment/>
    </xf>
    <xf numFmtId="170" fontId="17" fillId="0" borderId="0" xfId="47" applyNumberFormat="1" applyFont="1" applyAlignment="1">
      <alignment/>
    </xf>
    <xf numFmtId="10" fontId="5" fillId="0" borderId="0" xfId="70" applyNumberFormat="1" applyFont="1" applyAlignment="1">
      <alignment/>
    </xf>
    <xf numFmtId="0" fontId="18" fillId="0" borderId="0" xfId="0" applyFont="1" applyAlignment="1">
      <alignment/>
    </xf>
    <xf numFmtId="38" fontId="16" fillId="0" borderId="12" xfId="0" applyNumberFormat="1" applyFont="1" applyBorder="1" applyAlignment="1" applyProtection="1">
      <alignment/>
      <protection/>
    </xf>
    <xf numFmtId="165" fontId="18" fillId="0" borderId="0" xfId="0" applyNumberFormat="1" applyFont="1" applyAlignment="1" applyProtection="1">
      <alignment/>
      <protection/>
    </xf>
    <xf numFmtId="168" fontId="20" fillId="0" borderId="0" xfId="42" applyNumberFormat="1" applyFont="1">
      <alignment/>
      <protection/>
    </xf>
    <xf numFmtId="38" fontId="0" fillId="0" borderId="0" xfId="0" applyNumberFormat="1" applyAlignment="1">
      <alignment/>
    </xf>
    <xf numFmtId="168" fontId="0" fillId="0" borderId="0" xfId="0" applyNumberFormat="1" applyAlignment="1">
      <alignment/>
    </xf>
    <xf numFmtId="0" fontId="21" fillId="0" borderId="0" xfId="0" applyFont="1" applyAlignment="1">
      <alignment/>
    </xf>
    <xf numFmtId="0" fontId="0" fillId="0" borderId="0" xfId="65">
      <alignment/>
      <protection/>
    </xf>
    <xf numFmtId="0" fontId="5" fillId="0" borderId="0" xfId="65" applyFont="1" applyAlignment="1">
      <alignment horizontal="center"/>
      <protection/>
    </xf>
    <xf numFmtId="165" fontId="0" fillId="0" borderId="0" xfId="65" applyNumberFormat="1" applyProtection="1">
      <alignment/>
      <protection/>
    </xf>
    <xf numFmtId="0" fontId="0" fillId="0" borderId="0" xfId="65" applyAlignment="1">
      <alignment horizontal="center"/>
      <protection/>
    </xf>
    <xf numFmtId="0" fontId="0" fillId="0" borderId="0" xfId="65" applyAlignment="1">
      <alignment horizontal="left"/>
      <protection/>
    </xf>
    <xf numFmtId="10" fontId="0" fillId="0" borderId="0" xfId="65" applyNumberFormat="1" applyProtection="1">
      <alignment/>
      <protection/>
    </xf>
    <xf numFmtId="10" fontId="5" fillId="33" borderId="0" xfId="65" applyNumberFormat="1" applyFont="1" applyFill="1" applyProtection="1">
      <alignment/>
      <protection locked="0"/>
    </xf>
    <xf numFmtId="0" fontId="0" fillId="33" borderId="0" xfId="65" applyFont="1" applyFill="1">
      <alignment/>
      <protection/>
    </xf>
    <xf numFmtId="37" fontId="0" fillId="0" borderId="0" xfId="65" applyNumberFormat="1" applyProtection="1">
      <alignment/>
      <protection/>
    </xf>
    <xf numFmtId="10" fontId="0" fillId="0" borderId="0" xfId="65" applyNumberFormat="1" applyAlignment="1" applyProtection="1">
      <alignment horizontal="center"/>
      <protection/>
    </xf>
    <xf numFmtId="0" fontId="24" fillId="0" borderId="0" xfId="64" applyFont="1" applyAlignment="1">
      <alignment horizontal="right"/>
      <protection/>
    </xf>
    <xf numFmtId="0" fontId="24" fillId="0" borderId="0" xfId="64">
      <alignment/>
      <protection/>
    </xf>
    <xf numFmtId="14" fontId="0" fillId="0" borderId="0" xfId="65" applyNumberFormat="1">
      <alignment/>
      <protection/>
    </xf>
    <xf numFmtId="0" fontId="26" fillId="34" borderId="0" xfId="0" applyFont="1" applyFill="1" applyAlignment="1">
      <alignment horizontal="center"/>
    </xf>
    <xf numFmtId="0" fontId="0" fillId="0" borderId="0" xfId="0" applyAlignment="1">
      <alignment wrapText="1"/>
    </xf>
    <xf numFmtId="0" fontId="7" fillId="0" borderId="0" xfId="65" applyFont="1">
      <alignment/>
      <protection/>
    </xf>
    <xf numFmtId="14" fontId="7" fillId="0" borderId="0" xfId="65" applyNumberFormat="1" applyFont="1">
      <alignment/>
      <protection/>
    </xf>
    <xf numFmtId="0" fontId="6" fillId="0" borderId="0" xfId="65" applyFont="1">
      <alignment/>
      <protection/>
    </xf>
    <xf numFmtId="0" fontId="0" fillId="0" borderId="0" xfId="0" applyFont="1" applyAlignment="1">
      <alignment/>
    </xf>
    <xf numFmtId="0" fontId="26" fillId="0" borderId="0" xfId="0" applyFont="1" applyFill="1" applyAlignment="1">
      <alignment horizontal="center"/>
    </xf>
    <xf numFmtId="0" fontId="19" fillId="0" borderId="0" xfId="0" applyFont="1" applyAlignment="1" applyProtection="1">
      <alignment horizontal="right"/>
      <protection locked="0"/>
    </xf>
    <xf numFmtId="164" fontId="0" fillId="0" borderId="0" xfId="0" applyNumberFormat="1" applyAlignment="1" applyProtection="1" quotePrefix="1">
      <alignment/>
      <protection/>
    </xf>
    <xf numFmtId="2" fontId="5" fillId="0" borderId="0" xfId="70" applyNumberFormat="1" applyFont="1" applyAlignment="1">
      <alignment/>
    </xf>
    <xf numFmtId="177" fontId="28" fillId="0" borderId="0" xfId="66" applyNumberFormat="1" applyFont="1" applyFill="1" applyBorder="1" applyProtection="1">
      <alignment/>
      <protection locked="0"/>
    </xf>
    <xf numFmtId="0" fontId="24" fillId="0" borderId="0" xfId="64" applyFont="1">
      <alignment/>
      <protection/>
    </xf>
    <xf numFmtId="0" fontId="29" fillId="0" borderId="0" xfId="64" applyFont="1">
      <alignment/>
      <protection/>
    </xf>
    <xf numFmtId="0" fontId="24" fillId="0" borderId="0" xfId="64" applyFont="1" applyAlignment="1">
      <alignment horizontal="left"/>
      <protection/>
    </xf>
    <xf numFmtId="0" fontId="40" fillId="0" borderId="0" xfId="67" applyFont="1">
      <alignment/>
      <protection/>
    </xf>
    <xf numFmtId="0" fontId="39" fillId="0" borderId="0" xfId="67" applyFont="1" applyAlignment="1">
      <alignment horizontal="center"/>
      <protection/>
    </xf>
    <xf numFmtId="0" fontId="39" fillId="0" borderId="0" xfId="67" applyFont="1">
      <alignment/>
      <protection/>
    </xf>
    <xf numFmtId="0" fontId="40" fillId="0" borderId="0" xfId="67" applyFont="1" applyAlignment="1">
      <alignment horizontal="center"/>
      <protection/>
    </xf>
    <xf numFmtId="0" fontId="39" fillId="35" borderId="0" xfId="67" applyFont="1" applyFill="1" applyAlignment="1">
      <alignment horizontal="center"/>
      <protection/>
    </xf>
    <xf numFmtId="0" fontId="40" fillId="35" borderId="0" xfId="67" applyFont="1" applyFill="1">
      <alignment/>
      <protection/>
    </xf>
    <xf numFmtId="0" fontId="39" fillId="35" borderId="0" xfId="67" applyFont="1" applyFill="1">
      <alignment/>
      <protection/>
    </xf>
    <xf numFmtId="0" fontId="39" fillId="0" borderId="0" xfId="67" applyFont="1" applyFill="1" applyBorder="1">
      <alignment/>
      <protection/>
    </xf>
    <xf numFmtId="0" fontId="39" fillId="35" borderId="0" xfId="67" applyFont="1" applyFill="1" applyBorder="1" applyAlignment="1">
      <alignment horizontal="center"/>
      <protection/>
    </xf>
    <xf numFmtId="0" fontId="41" fillId="35" borderId="0" xfId="67" applyFont="1" applyFill="1">
      <alignment/>
      <protection/>
    </xf>
    <xf numFmtId="0" fontId="41" fillId="0" borderId="0" xfId="67" applyFont="1" applyFill="1" applyBorder="1">
      <alignment/>
      <protection/>
    </xf>
    <xf numFmtId="0" fontId="39" fillId="35" borderId="0" xfId="67" applyFont="1" applyFill="1" applyAlignment="1">
      <alignment horizontal="right"/>
      <protection/>
    </xf>
    <xf numFmtId="0" fontId="39" fillId="35" borderId="0" xfId="67" applyFont="1" applyFill="1" applyAlignment="1">
      <alignment horizontal="right"/>
      <protection/>
    </xf>
    <xf numFmtId="0" fontId="39" fillId="0" borderId="0" xfId="67" applyFont="1" applyFill="1" applyBorder="1" applyAlignment="1">
      <alignment horizontal="right"/>
      <protection/>
    </xf>
    <xf numFmtId="0" fontId="40" fillId="0" borderId="13" xfId="67" applyFont="1" applyBorder="1">
      <alignment/>
      <protection/>
    </xf>
    <xf numFmtId="0" fontId="40" fillId="0" borderId="0" xfId="67" applyFont="1" applyBorder="1">
      <alignment/>
      <protection/>
    </xf>
    <xf numFmtId="0" fontId="42" fillId="36" borderId="10" xfId="67" applyFont="1" applyFill="1" applyBorder="1">
      <alignment/>
      <protection/>
    </xf>
    <xf numFmtId="2" fontId="42" fillId="36" borderId="10" xfId="67" applyNumberFormat="1" applyFont="1" applyFill="1" applyBorder="1">
      <alignment/>
      <protection/>
    </xf>
    <xf numFmtId="2" fontId="42" fillId="36" borderId="0" xfId="67" applyNumberFormat="1" applyFont="1" applyFill="1" applyBorder="1">
      <alignment/>
      <protection/>
    </xf>
    <xf numFmtId="0" fontId="42" fillId="0" borderId="0" xfId="67" applyFont="1">
      <alignment/>
      <protection/>
    </xf>
    <xf numFmtId="0" fontId="42" fillId="36" borderId="0" xfId="67" applyFont="1" applyFill="1" applyBorder="1">
      <alignment/>
      <protection/>
    </xf>
    <xf numFmtId="2" fontId="42" fillId="36" borderId="0" xfId="67" applyNumberFormat="1" applyFont="1" applyFill="1" applyBorder="1" applyAlignment="1">
      <alignment horizontal="right"/>
      <protection/>
    </xf>
    <xf numFmtId="2" fontId="42" fillId="36" borderId="0" xfId="67" applyNumberFormat="1" applyFont="1" applyFill="1" applyBorder="1" applyAlignment="1">
      <alignment horizontal="center"/>
      <protection/>
    </xf>
    <xf numFmtId="0" fontId="40" fillId="36" borderId="14" xfId="67" applyFont="1" applyFill="1" applyBorder="1">
      <alignment/>
      <protection/>
    </xf>
    <xf numFmtId="2" fontId="40" fillId="36" borderId="14" xfId="67" applyNumberFormat="1" applyFont="1" applyFill="1" applyBorder="1">
      <alignment/>
      <protection/>
    </xf>
    <xf numFmtId="2" fontId="42" fillId="36" borderId="14" xfId="67" applyNumberFormat="1" applyFont="1" applyFill="1" applyBorder="1">
      <alignment/>
      <protection/>
    </xf>
    <xf numFmtId="0" fontId="40" fillId="0" borderId="14" xfId="67" applyFont="1" applyBorder="1">
      <alignment/>
      <protection/>
    </xf>
    <xf numFmtId="0" fontId="40" fillId="36" borderId="0" xfId="67" applyFont="1" applyFill="1" applyBorder="1">
      <alignment/>
      <protection/>
    </xf>
    <xf numFmtId="2" fontId="40" fillId="36" borderId="0" xfId="67" applyNumberFormat="1" applyFont="1" applyFill="1" applyBorder="1">
      <alignment/>
      <protection/>
    </xf>
    <xf numFmtId="2" fontId="40" fillId="0" borderId="0" xfId="67" applyNumberFormat="1" applyFont="1">
      <alignment/>
      <protection/>
    </xf>
    <xf numFmtId="0" fontId="43" fillId="0" borderId="0" xfId="67" applyFont="1">
      <alignment/>
      <protection/>
    </xf>
    <xf numFmtId="2" fontId="43" fillId="0" borderId="0" xfId="67" applyNumberFormat="1" applyFont="1">
      <alignment/>
      <protection/>
    </xf>
    <xf numFmtId="0" fontId="44" fillId="0" borderId="0" xfId="67" applyFont="1">
      <alignment/>
      <protection/>
    </xf>
    <xf numFmtId="0" fontId="44" fillId="0" borderId="0" xfId="67" applyFont="1" applyAlignment="1">
      <alignment horizontal="left" indent="8"/>
      <protection/>
    </xf>
    <xf numFmtId="0" fontId="4" fillId="0" borderId="0" xfId="67">
      <alignment/>
      <protection/>
    </xf>
    <xf numFmtId="0" fontId="40" fillId="0" borderId="0" xfId="67" applyFont="1">
      <alignment/>
      <protection/>
    </xf>
    <xf numFmtId="2" fontId="4" fillId="0" borderId="0" xfId="67" applyNumberFormat="1">
      <alignment/>
      <protection/>
    </xf>
    <xf numFmtId="0" fontId="27" fillId="37" borderId="0" xfId="66" applyFont="1" applyFill="1" applyBorder="1" applyProtection="1">
      <alignment/>
      <protection locked="0"/>
    </xf>
    <xf numFmtId="176" fontId="0" fillId="0" borderId="0" xfId="0" applyNumberFormat="1" applyAlignment="1">
      <alignment/>
    </xf>
    <xf numFmtId="164" fontId="0" fillId="0" borderId="0" xfId="0" applyNumberFormat="1" applyFont="1" applyAlignment="1" applyProtection="1">
      <alignment horizontal="left"/>
      <protection/>
    </xf>
    <xf numFmtId="164" fontId="0" fillId="0" borderId="0" xfId="0" applyNumberFormat="1" applyFont="1" applyAlignment="1" applyProtection="1">
      <alignment/>
      <protection/>
    </xf>
    <xf numFmtId="0" fontId="7" fillId="0" borderId="0" xfId="0" applyFont="1" applyAlignment="1">
      <alignment/>
    </xf>
    <xf numFmtId="164" fontId="7" fillId="0" borderId="0" xfId="0" applyNumberFormat="1" applyFont="1" applyAlignment="1" applyProtection="1">
      <alignment horizontal="center"/>
      <protection/>
    </xf>
    <xf numFmtId="5" fontId="7" fillId="0" borderId="0" xfId="0" applyNumberFormat="1" applyFont="1" applyAlignment="1" applyProtection="1">
      <alignment horizontal="center"/>
      <protection/>
    </xf>
    <xf numFmtId="0" fontId="7" fillId="0" borderId="0" xfId="0" applyFont="1" applyAlignment="1">
      <alignment horizontal="center"/>
    </xf>
    <xf numFmtId="38" fontId="13" fillId="0" borderId="0" xfId="0" applyNumberFormat="1" applyFont="1" applyAlignment="1" applyProtection="1">
      <alignment/>
      <protection locked="0"/>
    </xf>
    <xf numFmtId="0" fontId="0" fillId="0" borderId="0" xfId="0" applyFont="1" applyAlignment="1" applyProtection="1">
      <alignment/>
      <protection locked="0"/>
    </xf>
    <xf numFmtId="38" fontId="0" fillId="0" borderId="0" xfId="0" applyNumberFormat="1" applyFont="1" applyAlignment="1" applyProtection="1">
      <alignment/>
      <protection/>
    </xf>
    <xf numFmtId="10" fontId="0" fillId="0" borderId="0" xfId="70" applyNumberFormat="1" applyFont="1" applyAlignment="1">
      <alignment/>
    </xf>
    <xf numFmtId="164" fontId="93" fillId="0" borderId="0" xfId="0" applyNumberFormat="1" applyFont="1" applyAlignment="1" applyProtection="1">
      <alignment horizontal="centerContinuous"/>
      <protection/>
    </xf>
    <xf numFmtId="164" fontId="93" fillId="0" borderId="0" xfId="0" applyNumberFormat="1" applyFont="1" applyAlignment="1" applyProtection="1">
      <alignment/>
      <protection/>
    </xf>
    <xf numFmtId="0" fontId="93" fillId="0" borderId="0" xfId="0" applyFont="1" applyAlignment="1" applyProtection="1">
      <alignment/>
      <protection locked="0"/>
    </xf>
    <xf numFmtId="164" fontId="94" fillId="0" borderId="0" xfId="0" applyNumberFormat="1" applyFont="1" applyAlignment="1" applyProtection="1">
      <alignment horizontal="center"/>
      <protection/>
    </xf>
    <xf numFmtId="6" fontId="95" fillId="0" borderId="0" xfId="0" applyNumberFormat="1" applyFont="1" applyAlignment="1" applyProtection="1">
      <alignment/>
      <protection/>
    </xf>
    <xf numFmtId="37" fontId="95" fillId="0" borderId="0" xfId="0" applyNumberFormat="1" applyFont="1" applyAlignment="1" applyProtection="1">
      <alignment/>
      <protection/>
    </xf>
    <xf numFmtId="38" fontId="95" fillId="0" borderId="0" xfId="0" applyNumberFormat="1" applyFont="1" applyAlignment="1" applyProtection="1">
      <alignment/>
      <protection/>
    </xf>
    <xf numFmtId="0" fontId="94" fillId="0" borderId="0" xfId="0" applyFont="1" applyAlignment="1">
      <alignment/>
    </xf>
    <xf numFmtId="37" fontId="96" fillId="0" borderId="0" xfId="0" applyNumberFormat="1" applyFont="1" applyAlignment="1" applyProtection="1">
      <alignment/>
      <protection/>
    </xf>
    <xf numFmtId="38" fontId="96" fillId="0" borderId="0" xfId="0" applyNumberFormat="1" applyFont="1" applyAlignment="1" applyProtection="1">
      <alignment/>
      <protection/>
    </xf>
    <xf numFmtId="38" fontId="97" fillId="0" borderId="0" xfId="0" applyNumberFormat="1" applyFont="1" applyAlignment="1" applyProtection="1">
      <alignment/>
      <protection/>
    </xf>
    <xf numFmtId="168" fontId="98" fillId="0" borderId="0" xfId="42" applyNumberFormat="1" applyFont="1">
      <alignment/>
      <protection/>
    </xf>
    <xf numFmtId="0" fontId="95" fillId="0" borderId="0" xfId="0" applyFont="1" applyAlignment="1">
      <alignment/>
    </xf>
    <xf numFmtId="164" fontId="95" fillId="0" borderId="0" xfId="0" applyNumberFormat="1" applyFont="1" applyAlignment="1" applyProtection="1">
      <alignment/>
      <protection/>
    </xf>
    <xf numFmtId="0" fontId="93" fillId="0" borderId="0" xfId="0" applyFont="1" applyAlignment="1">
      <alignment/>
    </xf>
    <xf numFmtId="0" fontId="93" fillId="0" borderId="0" xfId="0" applyFont="1" applyAlignment="1">
      <alignment horizontal="centerContinuous"/>
    </xf>
    <xf numFmtId="38" fontId="95" fillId="0" borderId="0" xfId="0" applyNumberFormat="1" applyFont="1" applyAlignment="1" applyProtection="1">
      <alignment/>
      <protection locked="0"/>
    </xf>
    <xf numFmtId="168" fontId="95" fillId="0" borderId="0" xfId="42" applyNumberFormat="1" applyFont="1">
      <alignment/>
      <protection/>
    </xf>
    <xf numFmtId="38" fontId="94" fillId="0" borderId="0" xfId="0" applyNumberFormat="1" applyFont="1" applyAlignment="1" applyProtection="1">
      <alignment/>
      <protection/>
    </xf>
    <xf numFmtId="0" fontId="93" fillId="0" borderId="0" xfId="0" applyFont="1" applyAlignment="1" applyProtection="1">
      <alignment horizontal="center"/>
      <protection locked="0"/>
    </xf>
    <xf numFmtId="5" fontId="7" fillId="19" borderId="15" xfId="0" applyNumberFormat="1" applyFont="1" applyFill="1" applyBorder="1" applyAlignment="1" applyProtection="1">
      <alignment horizontal="center"/>
      <protection/>
    </xf>
    <xf numFmtId="0" fontId="5" fillId="0" borderId="0" xfId="0" applyFont="1" applyAlignment="1" applyProtection="1">
      <alignment horizontal="center"/>
      <protection locked="0"/>
    </xf>
    <xf numFmtId="164" fontId="99" fillId="0" borderId="0" xfId="0" applyNumberFormat="1" applyFont="1" applyAlignment="1" applyProtection="1">
      <alignment horizontal="centerContinuous"/>
      <protection/>
    </xf>
    <xf numFmtId="164" fontId="99" fillId="0" borderId="0" xfId="0" applyNumberFormat="1" applyFont="1" applyAlignment="1" applyProtection="1">
      <alignment/>
      <protection/>
    </xf>
    <xf numFmtId="0" fontId="99" fillId="0" borderId="0" xfId="0" applyFont="1" applyAlignment="1" applyProtection="1">
      <alignment/>
      <protection locked="0"/>
    </xf>
    <xf numFmtId="37" fontId="100" fillId="0" borderId="0" xfId="0" applyNumberFormat="1" applyFont="1" applyAlignment="1" applyProtection="1">
      <alignment/>
      <protection/>
    </xf>
    <xf numFmtId="38" fontId="100" fillId="0" borderId="0" xfId="0" applyNumberFormat="1" applyFont="1" applyAlignment="1" applyProtection="1">
      <alignment/>
      <protection/>
    </xf>
    <xf numFmtId="0" fontId="101" fillId="0" borderId="0" xfId="0" applyFont="1" applyAlignment="1">
      <alignment/>
    </xf>
    <xf numFmtId="37" fontId="102" fillId="0" borderId="0" xfId="0" applyNumberFormat="1" applyFont="1" applyAlignment="1" applyProtection="1">
      <alignment/>
      <protection/>
    </xf>
    <xf numFmtId="38" fontId="102" fillId="0" borderId="0" xfId="0" applyNumberFormat="1" applyFont="1" applyAlignment="1" applyProtection="1">
      <alignment/>
      <protection/>
    </xf>
    <xf numFmtId="38" fontId="103" fillId="0" borderId="0" xfId="0" applyNumberFormat="1" applyFont="1" applyAlignment="1" applyProtection="1">
      <alignment/>
      <protection/>
    </xf>
    <xf numFmtId="168" fontId="104" fillId="0" borderId="0" xfId="42" applyNumberFormat="1" applyFont="1">
      <alignment/>
      <protection/>
    </xf>
    <xf numFmtId="0" fontId="100" fillId="0" borderId="0" xfId="0" applyFont="1" applyAlignment="1">
      <alignment/>
    </xf>
    <xf numFmtId="164" fontId="100" fillId="0" borderId="0" xfId="0" applyNumberFormat="1" applyFont="1" applyAlignment="1" applyProtection="1">
      <alignment/>
      <protection/>
    </xf>
    <xf numFmtId="0" fontId="99" fillId="0" borderId="0" xfId="0" applyFont="1" applyAlignment="1">
      <alignment/>
    </xf>
    <xf numFmtId="38" fontId="100" fillId="0" borderId="0" xfId="0" applyNumberFormat="1" applyFont="1" applyAlignment="1" applyProtection="1">
      <alignment/>
      <protection locked="0"/>
    </xf>
    <xf numFmtId="168" fontId="100" fillId="0" borderId="0" xfId="42" applyNumberFormat="1" applyFont="1">
      <alignment/>
      <protection/>
    </xf>
    <xf numFmtId="164" fontId="9" fillId="0" borderId="0" xfId="0" applyNumberFormat="1" applyFont="1" applyAlignment="1" applyProtection="1">
      <alignment horizontal="right"/>
      <protection/>
    </xf>
    <xf numFmtId="6" fontId="101" fillId="0" borderId="0" xfId="0" applyNumberFormat="1" applyFont="1" applyAlignment="1" applyProtection="1">
      <alignment horizontal="center"/>
      <protection/>
    </xf>
    <xf numFmtId="6" fontId="99" fillId="0" borderId="0" xfId="0" applyNumberFormat="1" applyFont="1" applyAlignment="1" applyProtection="1">
      <alignment/>
      <protection/>
    </xf>
    <xf numFmtId="168" fontId="100" fillId="0" borderId="11" xfId="42" applyNumberFormat="1" applyFont="1" applyBorder="1" applyProtection="1">
      <alignment/>
      <protection/>
    </xf>
    <xf numFmtId="168" fontId="100" fillId="0" borderId="0" xfId="42" applyNumberFormat="1" applyFont="1" applyProtection="1">
      <alignment/>
      <protection locked="0"/>
    </xf>
    <xf numFmtId="168" fontId="100" fillId="0" borderId="0" xfId="42" applyNumberFormat="1" applyFont="1" applyBorder="1">
      <alignment/>
      <protection/>
    </xf>
    <xf numFmtId="168" fontId="100" fillId="0" borderId="11" xfId="0" applyNumberFormat="1" applyFont="1" applyBorder="1" applyAlignment="1" applyProtection="1">
      <alignment/>
      <protection/>
    </xf>
    <xf numFmtId="5" fontId="101" fillId="0" borderId="0" xfId="0" applyNumberFormat="1" applyFont="1" applyAlignment="1" applyProtection="1">
      <alignment horizontal="center"/>
      <protection/>
    </xf>
    <xf numFmtId="0" fontId="0" fillId="0" borderId="0" xfId="0" applyFont="1" applyAlignment="1">
      <alignment horizontal="centerContinuous"/>
    </xf>
    <xf numFmtId="38" fontId="7" fillId="0" borderId="0" xfId="0" applyNumberFormat="1" applyFont="1" applyAlignment="1" applyProtection="1">
      <alignment/>
      <protection/>
    </xf>
    <xf numFmtId="168" fontId="4" fillId="0" borderId="0" xfId="42" applyNumberFormat="1" applyFont="1">
      <alignment/>
      <protection/>
    </xf>
    <xf numFmtId="0" fontId="0" fillId="0" borderId="0" xfId="0" applyFont="1" applyAlignment="1" applyProtection="1">
      <alignment horizontal="center"/>
      <protection locked="0"/>
    </xf>
    <xf numFmtId="0" fontId="5" fillId="0" borderId="16" xfId="0" applyFont="1" applyBorder="1" applyAlignment="1" applyProtection="1">
      <alignment vertical="center" wrapText="1"/>
      <protection locked="0"/>
    </xf>
    <xf numFmtId="0" fontId="6" fillId="0" borderId="0" xfId="0" applyFont="1" applyAlignment="1">
      <alignment/>
    </xf>
    <xf numFmtId="0" fontId="5" fillId="0" borderId="17" xfId="0" applyFont="1" applyBorder="1" applyAlignment="1" applyProtection="1">
      <alignment vertical="center" wrapText="1"/>
      <protection locked="0"/>
    </xf>
    <xf numFmtId="168" fontId="100" fillId="0" borderId="13" xfId="42" applyNumberFormat="1" applyFont="1" applyBorder="1">
      <alignment/>
      <protection/>
    </xf>
    <xf numFmtId="38" fontId="95" fillId="0" borderId="13" xfId="0" applyNumberFormat="1" applyFont="1" applyBorder="1" applyAlignment="1" applyProtection="1">
      <alignment/>
      <protection/>
    </xf>
    <xf numFmtId="38" fontId="13" fillId="0" borderId="13" xfId="0" applyNumberFormat="1" applyFont="1" applyBorder="1" applyAlignment="1" applyProtection="1">
      <alignment/>
      <protection/>
    </xf>
    <xf numFmtId="168" fontId="13" fillId="0" borderId="13" xfId="42" applyNumberFormat="1" applyFont="1" applyBorder="1">
      <alignment/>
      <protection/>
    </xf>
    <xf numFmtId="168" fontId="100" fillId="0" borderId="0" xfId="42" applyNumberFormat="1" applyFont="1" applyBorder="1" applyProtection="1">
      <alignment/>
      <protection/>
    </xf>
    <xf numFmtId="6" fontId="95" fillId="0" borderId="13" xfId="0" applyNumberFormat="1" applyFont="1" applyBorder="1" applyAlignment="1" applyProtection="1">
      <alignment/>
      <protection/>
    </xf>
    <xf numFmtId="168" fontId="13" fillId="0" borderId="13" xfId="0" applyNumberFormat="1" applyFont="1" applyBorder="1" applyAlignment="1" applyProtection="1">
      <alignment/>
      <protection/>
    </xf>
    <xf numFmtId="168" fontId="100" fillId="0" borderId="0" xfId="0" applyNumberFormat="1" applyFont="1" applyBorder="1" applyAlignment="1" applyProtection="1">
      <alignment/>
      <protection/>
    </xf>
    <xf numFmtId="38" fontId="95" fillId="0" borderId="13" xfId="0" applyNumberFormat="1" applyFont="1" applyBorder="1" applyAlignment="1" applyProtection="1">
      <alignment/>
      <protection locked="0"/>
    </xf>
    <xf numFmtId="10" fontId="5" fillId="0" borderId="0" xfId="65" applyNumberFormat="1" applyFont="1" applyProtection="1">
      <alignment/>
      <protection locked="0"/>
    </xf>
    <xf numFmtId="0" fontId="0" fillId="0" borderId="0" xfId="65" applyFont="1">
      <alignment/>
      <protection/>
    </xf>
    <xf numFmtId="0" fontId="7" fillId="0" borderId="0" xfId="0" applyFont="1" applyAlignment="1">
      <alignment horizontal="center"/>
    </xf>
    <xf numFmtId="0" fontId="0" fillId="0" borderId="0" xfId="0" applyFont="1" applyAlignment="1">
      <alignment/>
    </xf>
    <xf numFmtId="0" fontId="11" fillId="0" borderId="0" xfId="65" applyFont="1" applyAlignment="1">
      <alignment horizontal="left"/>
      <protection/>
    </xf>
    <xf numFmtId="10" fontId="0" fillId="0" borderId="0" xfId="65" applyNumberFormat="1" applyFont="1" applyAlignment="1" applyProtection="1">
      <alignment horizontal="center"/>
      <protection/>
    </xf>
    <xf numFmtId="0" fontId="0" fillId="0" borderId="0" xfId="65" applyFont="1" applyAlignment="1">
      <alignment horizontal="left"/>
      <protection/>
    </xf>
    <xf numFmtId="37" fontId="0" fillId="0" borderId="0" xfId="65" applyNumberFormat="1" applyFont="1" applyProtection="1">
      <alignment/>
      <protection/>
    </xf>
    <xf numFmtId="10" fontId="0" fillId="0" borderId="0" xfId="65" applyNumberFormat="1" applyFont="1" applyProtection="1">
      <alignment/>
      <protection/>
    </xf>
    <xf numFmtId="0" fontId="0" fillId="33" borderId="0" xfId="65" applyFont="1" applyFill="1" applyAlignment="1">
      <alignment horizontal="left"/>
      <protection/>
    </xf>
    <xf numFmtId="43" fontId="0" fillId="0" borderId="0" xfId="0" applyNumberFormat="1" applyAlignment="1">
      <alignment/>
    </xf>
    <xf numFmtId="10" fontId="0" fillId="0" borderId="0" xfId="70" applyNumberFormat="1" applyFont="1" applyAlignment="1">
      <alignment/>
    </xf>
    <xf numFmtId="10" fontId="0" fillId="0" borderId="0" xfId="0" applyNumberFormat="1" applyFont="1" applyAlignment="1">
      <alignment/>
    </xf>
    <xf numFmtId="0" fontId="7" fillId="0" borderId="0" xfId="0" applyFont="1" applyAlignment="1">
      <alignment horizontal="left"/>
    </xf>
    <xf numFmtId="0" fontId="7" fillId="0" borderId="0" xfId="65" applyFont="1" applyAlignment="1">
      <alignment horizontal="right"/>
      <protection/>
    </xf>
    <xf numFmtId="165" fontId="5" fillId="0" borderId="15" xfId="65" applyNumberFormat="1" applyFont="1" applyBorder="1" applyProtection="1">
      <alignment/>
      <protection/>
    </xf>
    <xf numFmtId="187" fontId="46" fillId="0" borderId="0" xfId="65" applyNumberFormat="1" applyFont="1">
      <alignment/>
      <protection/>
    </xf>
    <xf numFmtId="0" fontId="0" fillId="0" borderId="0" xfId="65" applyFont="1" applyAlignment="1">
      <alignment horizontal="right"/>
      <protection/>
    </xf>
    <xf numFmtId="0" fontId="5" fillId="0" borderId="0" xfId="65" applyFont="1" applyProtection="1">
      <alignment/>
      <protection locked="0"/>
    </xf>
    <xf numFmtId="0" fontId="7" fillId="0" borderId="0" xfId="65" applyFont="1" applyAlignment="1">
      <alignment horizontal="center"/>
      <protection/>
    </xf>
    <xf numFmtId="0" fontId="8" fillId="0" borderId="0" xfId="65" applyFont="1">
      <alignment/>
      <protection/>
    </xf>
    <xf numFmtId="0" fontId="11" fillId="0" borderId="0" xfId="65" applyFont="1" applyAlignment="1">
      <alignment horizontal="center"/>
      <protection/>
    </xf>
    <xf numFmtId="0" fontId="11" fillId="33" borderId="0" xfId="65" applyFont="1" applyFill="1" applyAlignment="1">
      <alignment horizontal="left"/>
      <protection/>
    </xf>
    <xf numFmtId="0" fontId="8" fillId="33" borderId="0" xfId="65" applyFont="1" applyFill="1">
      <alignment/>
      <protection/>
    </xf>
    <xf numFmtId="0" fontId="11" fillId="33" borderId="0" xfId="65" applyFont="1" applyFill="1" applyAlignment="1">
      <alignment horizontal="center"/>
      <protection/>
    </xf>
    <xf numFmtId="0" fontId="0" fillId="33" borderId="0" xfId="65" applyFont="1" applyFill="1" applyAlignment="1">
      <alignment horizontal="left"/>
      <protection/>
    </xf>
    <xf numFmtId="0" fontId="11" fillId="0" borderId="0" xfId="65" applyFont="1" applyAlignment="1">
      <alignment horizontal="centerContinuous"/>
      <protection/>
    </xf>
    <xf numFmtId="0" fontId="11" fillId="0" borderId="0" xfId="65" applyFont="1">
      <alignment/>
      <protection/>
    </xf>
    <xf numFmtId="0" fontId="0" fillId="0" borderId="0" xfId="65" applyFont="1">
      <alignment/>
      <protection/>
    </xf>
    <xf numFmtId="0" fontId="12" fillId="0" borderId="0" xfId="65" applyFont="1" applyAlignment="1">
      <alignment horizontal="left"/>
      <protection/>
    </xf>
    <xf numFmtId="164" fontId="23" fillId="0" borderId="0" xfId="58" applyNumberFormat="1" applyAlignment="1" applyProtection="1">
      <alignment horizontal="left"/>
      <protection/>
    </xf>
    <xf numFmtId="14" fontId="7" fillId="0" borderId="0" xfId="65" applyNumberFormat="1" applyFont="1">
      <alignment/>
      <protection/>
    </xf>
    <xf numFmtId="0" fontId="7" fillId="0" borderId="0" xfId="65" applyFont="1">
      <alignment/>
      <protection/>
    </xf>
    <xf numFmtId="0" fontId="0" fillId="0" borderId="0" xfId="65" applyFont="1" applyAlignment="1">
      <alignment horizontal="right"/>
      <protection/>
    </xf>
    <xf numFmtId="0" fontId="1" fillId="0" borderId="0" xfId="0" applyFont="1" applyAlignment="1">
      <alignment horizontal="right" wrapText="1"/>
    </xf>
    <xf numFmtId="0" fontId="47" fillId="0" borderId="0" xfId="0" applyFont="1" applyAlignment="1">
      <alignment horizontal="right" wrapText="1"/>
    </xf>
    <xf numFmtId="38" fontId="1" fillId="38" borderId="18" xfId="42" applyNumberFormat="1" applyFont="1" applyFill="1" applyBorder="1" applyAlignment="1">
      <alignment/>
      <protection/>
    </xf>
    <xf numFmtId="38" fontId="1" fillId="38" borderId="19" xfId="42" applyNumberFormat="1" applyFont="1" applyFill="1" applyBorder="1" applyAlignment="1">
      <alignment/>
      <protection/>
    </xf>
    <xf numFmtId="176" fontId="48" fillId="0" borderId="0" xfId="63">
      <alignment/>
      <protection/>
    </xf>
    <xf numFmtId="176" fontId="0" fillId="0" borderId="0" xfId="63" applyFont="1">
      <alignment/>
      <protection/>
    </xf>
    <xf numFmtId="176" fontId="33" fillId="0" borderId="0" xfId="63" applyFont="1">
      <alignment/>
      <protection/>
    </xf>
    <xf numFmtId="176" fontId="34" fillId="0" borderId="0" xfId="63" applyFont="1">
      <alignment/>
      <protection/>
    </xf>
    <xf numFmtId="176" fontId="33" fillId="0" borderId="0" xfId="63" applyFont="1" applyAlignment="1">
      <alignment horizontal="center" wrapText="1"/>
      <protection/>
    </xf>
    <xf numFmtId="40" fontId="0" fillId="0" borderId="0" xfId="45" applyFont="1" applyAlignment="1">
      <alignment/>
    </xf>
    <xf numFmtId="176" fontId="7" fillId="0" borderId="0" xfId="63" applyFont="1">
      <alignment/>
      <protection/>
    </xf>
    <xf numFmtId="40" fontId="7" fillId="0" borderId="0" xfId="45" applyFont="1" applyAlignment="1">
      <alignment/>
    </xf>
    <xf numFmtId="176" fontId="35" fillId="0" borderId="0" xfId="63" applyFont="1" applyAlignment="1">
      <alignment horizontal="center"/>
      <protection/>
    </xf>
    <xf numFmtId="8" fontId="36" fillId="0" borderId="0" xfId="50" applyFont="1" applyAlignment="1">
      <alignment/>
    </xf>
    <xf numFmtId="184" fontId="7" fillId="0" borderId="0" xfId="63" applyNumberFormat="1" applyFont="1" applyAlignment="1">
      <alignment horizontal="centerContinuous"/>
      <protection/>
    </xf>
    <xf numFmtId="176" fontId="7" fillId="0" borderId="0" xfId="63" applyFont="1" applyAlignment="1">
      <alignment horizontal="center"/>
      <protection/>
    </xf>
    <xf numFmtId="40" fontId="7" fillId="0" borderId="0" xfId="45" applyFont="1" applyAlignment="1">
      <alignment horizontal="center"/>
    </xf>
    <xf numFmtId="176" fontId="0" fillId="0" borderId="0" xfId="63" applyFont="1" applyAlignment="1">
      <alignment horizontal="center"/>
      <protection/>
    </xf>
    <xf numFmtId="176" fontId="37" fillId="0" borderId="0" xfId="63" applyFont="1">
      <alignment/>
      <protection/>
    </xf>
    <xf numFmtId="176" fontId="4" fillId="0" borderId="0" xfId="63" applyFont="1" applyAlignment="1">
      <alignment horizontal="right"/>
      <protection/>
    </xf>
    <xf numFmtId="38" fontId="1" fillId="0" borderId="0" xfId="45" applyNumberFormat="1" applyFont="1" applyAlignment="1">
      <alignment/>
    </xf>
    <xf numFmtId="176" fontId="35" fillId="0" borderId="0" xfId="63" applyNumberFormat="1" applyFont="1" applyAlignment="1">
      <alignment horizontal="center"/>
      <protection/>
    </xf>
    <xf numFmtId="8" fontId="36" fillId="0" borderId="0" xfId="50" applyNumberFormat="1" applyFont="1" applyAlignment="1">
      <alignment/>
    </xf>
    <xf numFmtId="176" fontId="7" fillId="0" borderId="0" xfId="63" applyNumberFormat="1" applyFont="1">
      <alignment/>
      <protection/>
    </xf>
    <xf numFmtId="176" fontId="37" fillId="0" borderId="0" xfId="63" applyNumberFormat="1" applyFont="1">
      <alignment/>
      <protection/>
    </xf>
    <xf numFmtId="40" fontId="7" fillId="0" borderId="0" xfId="45" applyNumberFormat="1" applyFont="1" applyAlignment="1">
      <alignment/>
    </xf>
    <xf numFmtId="176" fontId="11" fillId="0" borderId="0" xfId="63" applyFont="1" applyAlignment="1">
      <alignment horizontal="left"/>
      <protection/>
    </xf>
    <xf numFmtId="176" fontId="11" fillId="0" borderId="0" xfId="63" applyFont="1" applyAlignment="1">
      <alignment horizontal="center"/>
      <protection/>
    </xf>
    <xf numFmtId="40" fontId="11" fillId="0" borderId="0" xfId="45" applyFont="1" applyAlignment="1">
      <alignment horizontal="center"/>
    </xf>
    <xf numFmtId="176" fontId="13" fillId="0" borderId="0" xfId="63" applyFont="1">
      <alignment/>
      <protection/>
    </xf>
    <xf numFmtId="40" fontId="7" fillId="0" borderId="0" xfId="46" applyFont="1" applyAlignment="1">
      <alignment/>
    </xf>
    <xf numFmtId="0" fontId="7" fillId="0" borderId="0" xfId="65" applyFont="1" applyAlignment="1">
      <alignment horizontal="center"/>
      <protection/>
    </xf>
    <xf numFmtId="0" fontId="11" fillId="0" borderId="0" xfId="65" applyFont="1" applyAlignment="1">
      <alignment horizontal="center"/>
      <protection/>
    </xf>
    <xf numFmtId="10" fontId="5" fillId="0" borderId="0" xfId="70" applyNumberFormat="1" applyFont="1" applyAlignment="1" applyProtection="1">
      <alignment/>
      <protection locked="0"/>
    </xf>
    <xf numFmtId="10" fontId="5" fillId="0" borderId="0" xfId="65" applyNumberFormat="1" applyFont="1" applyFill="1" applyProtection="1">
      <alignment/>
      <protection locked="0"/>
    </xf>
    <xf numFmtId="38" fontId="95" fillId="0" borderId="0" xfId="0" applyNumberFormat="1" applyFont="1" applyAlignment="1" applyProtection="1">
      <alignment/>
      <protection/>
    </xf>
    <xf numFmtId="38" fontId="95" fillId="0" borderId="0" xfId="0" applyNumberFormat="1" applyFont="1" applyAlignment="1" applyProtection="1">
      <alignment/>
      <protection locked="0"/>
    </xf>
    <xf numFmtId="0" fontId="0" fillId="0" borderId="0" xfId="0" applyAlignment="1">
      <alignment wrapText="1"/>
    </xf>
    <xf numFmtId="0" fontId="7" fillId="0" borderId="0" xfId="0" applyFont="1" applyAlignment="1">
      <alignment horizontal="center"/>
    </xf>
    <xf numFmtId="6" fontId="7" fillId="19" borderId="18" xfId="0" applyNumberFormat="1" applyFont="1" applyFill="1" applyBorder="1" applyAlignment="1" applyProtection="1">
      <alignment horizontal="center"/>
      <protection/>
    </xf>
    <xf numFmtId="6" fontId="7" fillId="19" borderId="20" xfId="0" applyNumberFormat="1" applyFont="1" applyFill="1" applyBorder="1" applyAlignment="1" applyProtection="1">
      <alignment horizontal="center"/>
      <protection/>
    </xf>
    <xf numFmtId="6" fontId="7" fillId="19" borderId="19" xfId="0" applyNumberFormat="1" applyFont="1" applyFill="1" applyBorder="1" applyAlignment="1" applyProtection="1">
      <alignment horizontal="center"/>
      <protection/>
    </xf>
    <xf numFmtId="0" fontId="5" fillId="0" borderId="16"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6" fillId="0" borderId="0" xfId="0" applyFont="1" applyAlignment="1">
      <alignment horizontal="center"/>
    </xf>
    <xf numFmtId="0" fontId="0" fillId="0" borderId="0" xfId="0" applyFont="1" applyAlignment="1">
      <alignment horizontal="center" vertical="center" wrapText="1"/>
    </xf>
    <xf numFmtId="0" fontId="5" fillId="0" borderId="16"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0" fillId="0" borderId="10" xfId="0" applyBorder="1" applyAlignment="1">
      <alignment vertical="center" wrapText="1"/>
    </xf>
    <xf numFmtId="0" fontId="0" fillId="0" borderId="21" xfId="0" applyBorder="1" applyAlignment="1">
      <alignment vertical="center" wrapText="1"/>
    </xf>
    <xf numFmtId="0" fontId="0" fillId="0" borderId="17" xfId="0" applyBorder="1" applyAlignment="1">
      <alignment vertical="center" wrapText="1"/>
    </xf>
    <xf numFmtId="0" fontId="0" fillId="0" borderId="13" xfId="0" applyBorder="1" applyAlignment="1">
      <alignment vertical="center" wrapText="1"/>
    </xf>
    <xf numFmtId="0" fontId="0" fillId="0" borderId="22" xfId="0" applyBorder="1" applyAlignment="1">
      <alignment vertical="center" wrapText="1"/>
    </xf>
    <xf numFmtId="5" fontId="7" fillId="19" borderId="18" xfId="0" applyNumberFormat="1" applyFont="1" applyFill="1" applyBorder="1" applyAlignment="1" applyProtection="1">
      <alignment horizontal="center"/>
      <protection/>
    </xf>
    <xf numFmtId="5" fontId="7" fillId="19" borderId="20" xfId="0" applyNumberFormat="1" applyFont="1" applyFill="1" applyBorder="1" applyAlignment="1" applyProtection="1">
      <alignment horizontal="center"/>
      <protection/>
    </xf>
    <xf numFmtId="5" fontId="7" fillId="19" borderId="19" xfId="0" applyNumberFormat="1" applyFont="1" applyFill="1" applyBorder="1" applyAlignment="1" applyProtection="1">
      <alignment horizontal="center"/>
      <protection/>
    </xf>
    <xf numFmtId="0" fontId="6" fillId="0" borderId="0" xfId="0" applyFont="1" applyAlignment="1">
      <alignment horizontal="right"/>
    </xf>
    <xf numFmtId="0" fontId="0" fillId="0" borderId="0" xfId="0" applyAlignment="1">
      <alignment horizontal="center" vertical="center" wrapText="1"/>
    </xf>
    <xf numFmtId="0" fontId="0" fillId="0" borderId="21" xfId="0" applyBorder="1" applyAlignment="1">
      <alignment wrapText="1"/>
    </xf>
    <xf numFmtId="0" fontId="0" fillId="0" borderId="22" xfId="0" applyBorder="1" applyAlignment="1">
      <alignment wrapText="1"/>
    </xf>
    <xf numFmtId="40" fontId="7" fillId="0" borderId="10" xfId="45" applyFont="1" applyBorder="1" applyAlignment="1">
      <alignment horizontal="center" vertical="center" wrapText="1"/>
    </xf>
    <xf numFmtId="40" fontId="7" fillId="0" borderId="0" xfId="45" applyFont="1" applyBorder="1" applyAlignment="1">
      <alignment horizontal="center" vertical="center" wrapText="1"/>
    </xf>
    <xf numFmtId="176" fontId="1" fillId="0" borderId="0" xfId="63" applyFont="1" applyAlignment="1">
      <alignment horizontal="right" wrapText="1"/>
      <protection/>
    </xf>
    <xf numFmtId="176" fontId="47" fillId="0" borderId="0" xfId="63" applyFont="1" applyAlignment="1">
      <alignment horizontal="right" wrapText="1"/>
      <protection/>
    </xf>
    <xf numFmtId="38" fontId="1" fillId="38" borderId="18" xfId="45" applyNumberFormat="1" applyFont="1" applyFill="1" applyBorder="1" applyAlignment="1">
      <alignment/>
    </xf>
    <xf numFmtId="38" fontId="1" fillId="38" borderId="19" xfId="45" applyNumberFormat="1" applyFont="1" applyFill="1" applyBorder="1" applyAlignment="1">
      <alignment/>
    </xf>
    <xf numFmtId="38" fontId="1" fillId="33" borderId="0" xfId="45" applyNumberFormat="1" applyFont="1" applyFill="1" applyAlignment="1">
      <alignment horizontal="right"/>
    </xf>
    <xf numFmtId="176" fontId="7" fillId="0" borderId="0" xfId="63" applyFont="1" applyAlignment="1">
      <alignment horizontal="right"/>
      <protection/>
    </xf>
    <xf numFmtId="184" fontId="7" fillId="0" borderId="0" xfId="63" applyNumberFormat="1" applyFont="1" applyAlignment="1">
      <alignment horizontal="center"/>
      <protection/>
    </xf>
    <xf numFmtId="176" fontId="4" fillId="0" borderId="0" xfId="63" applyFont="1" applyAlignment="1">
      <alignment wrapText="1"/>
      <protection/>
    </xf>
    <xf numFmtId="176" fontId="48" fillId="0" borderId="0" xfId="63" applyAlignment="1">
      <alignment wrapText="1"/>
      <protection/>
    </xf>
    <xf numFmtId="176" fontId="1" fillId="0" borderId="10" xfId="63" applyFont="1" applyBorder="1" applyAlignment="1">
      <alignment horizontal="left" vertical="center" wrapText="1"/>
      <protection/>
    </xf>
    <xf numFmtId="176" fontId="1" fillId="0" borderId="0" xfId="63" applyFont="1" applyBorder="1" applyAlignment="1">
      <alignment horizontal="left" vertical="center" wrapText="1"/>
      <protection/>
    </xf>
    <xf numFmtId="0" fontId="39" fillId="0" borderId="0" xfId="67" applyFont="1" applyFill="1" applyBorder="1" applyAlignment="1">
      <alignment horizontal="center"/>
      <protection/>
    </xf>
    <xf numFmtId="0" fontId="7" fillId="0" borderId="0" xfId="0" applyFont="1" applyAlignment="1">
      <alignment horizontal="right"/>
    </xf>
    <xf numFmtId="0" fontId="39" fillId="35" borderId="0" xfId="67" applyFont="1" applyFill="1" applyAlignment="1">
      <alignment horizontal="center"/>
      <protection/>
    </xf>
    <xf numFmtId="0" fontId="39" fillId="35" borderId="13" xfId="67" applyFont="1" applyFill="1" applyBorder="1" applyAlignment="1">
      <alignment horizontal="center"/>
      <protection/>
    </xf>
    <xf numFmtId="0" fontId="39" fillId="35" borderId="0" xfId="67" applyFont="1" applyFill="1" applyAlignment="1">
      <alignment horizontal="center"/>
      <protection/>
    </xf>
    <xf numFmtId="0" fontId="40" fillId="0" borderId="0" xfId="67" applyFont="1" applyAlignment="1">
      <alignment horizontal="center"/>
      <protection/>
    </xf>
    <xf numFmtId="0" fontId="39" fillId="35" borderId="13" xfId="67" applyFont="1" applyFill="1" applyBorder="1" applyAlignment="1">
      <alignment horizontal="center"/>
      <protection/>
    </xf>
    <xf numFmtId="0" fontId="40" fillId="0" borderId="13" xfId="67" applyFont="1" applyBorder="1" applyAlignment="1">
      <alignment horizontal="center"/>
      <protection/>
    </xf>
    <xf numFmtId="0" fontId="40" fillId="0" borderId="13" xfId="67" applyFont="1" applyBorder="1" applyAlignment="1">
      <alignment horizontal="center"/>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_PHS398 Modular_05-09-08 (2)" xfId="46"/>
    <cellStyle name="Currency" xfId="47"/>
    <cellStyle name="Currency [0]" xfId="48"/>
    <cellStyle name="Currency 2" xfId="49"/>
    <cellStyle name="Currency 3"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3" xfId="63"/>
    <cellStyle name="Normal_Copy of Copy of ModBudSprdsht" xfId="64"/>
    <cellStyle name="Normal_Copy of FY06-FED" xfId="65"/>
    <cellStyle name="Normal_ModBudSprdsht-cal-fringes" xfId="66"/>
    <cellStyle name="Normal_person_months_conversion_chart_rev" xfId="67"/>
    <cellStyle name="Note" xfId="68"/>
    <cellStyle name="Output" xfId="69"/>
    <cellStyle name="Percent" xfId="70"/>
    <cellStyle name="Percent 2" xfId="71"/>
    <cellStyle name="Percent 3" xfId="72"/>
    <cellStyle name="Title" xfId="73"/>
    <cellStyle name="Total" xfId="74"/>
    <cellStyle name="Warning Text" xfId="75"/>
  </cellStyles>
  <dxfs count="5">
    <dxf>
      <font>
        <b/>
        <i val="0"/>
        <color indexed="9"/>
      </font>
      <fill>
        <patternFill patternType="solid">
          <bgColor indexed="10"/>
        </patternFill>
      </fill>
    </dxf>
    <dxf>
      <font>
        <b/>
        <i val="0"/>
        <color indexed="9"/>
      </font>
      <fill>
        <patternFill patternType="solid">
          <bgColor indexed="10"/>
        </patternFill>
      </fill>
    </dxf>
    <dxf>
      <font>
        <b/>
        <i val="0"/>
        <color indexed="9"/>
      </font>
      <fill>
        <patternFill patternType="solid">
          <bgColor indexed="10"/>
        </patternFill>
      </fill>
    </dxf>
    <dxf>
      <font>
        <b/>
        <i val="0"/>
        <color indexed="9"/>
      </font>
      <fill>
        <patternFill patternType="solid">
          <bgColor indexed="10"/>
        </patternFill>
      </fill>
    </dxf>
    <dxf>
      <font>
        <b/>
        <i val="0"/>
        <color rgb="FFFFFFFF"/>
      </font>
      <fill>
        <patternFill patternType="solid">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10</xdr:row>
      <xdr:rowOff>38100</xdr:rowOff>
    </xdr:from>
    <xdr:to>
      <xdr:col>0</xdr:col>
      <xdr:colOff>190500</xdr:colOff>
      <xdr:row>11</xdr:row>
      <xdr:rowOff>9525</xdr:rowOff>
    </xdr:to>
    <xdr:pic>
      <xdr:nvPicPr>
        <xdr:cNvPr id="1" name="Picture 1" descr="BD21298_"/>
        <xdr:cNvPicPr preferRelativeResize="1">
          <a:picLocks noChangeAspect="1"/>
        </xdr:cNvPicPr>
      </xdr:nvPicPr>
      <xdr:blipFill>
        <a:blip r:embed="rId1"/>
        <a:stretch>
          <a:fillRect/>
        </a:stretch>
      </xdr:blipFill>
      <xdr:spPr>
        <a:xfrm>
          <a:off x="66675" y="1704975"/>
          <a:ext cx="123825" cy="123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rs.uc.edu/file_xls/PHS398%20Modular%20(09-04)%20BETA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rs.uc.edu/file_xls/ModBudSprdsht-cal-fring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CE"/>
      <sheetName val="Mod_Budget"/>
      <sheetName val="CHKLST"/>
      <sheetName val="Overview"/>
      <sheetName val="Budget Worksheet"/>
      <sheetName val="RATES"/>
      <sheetName val="NIH cap, other salary info"/>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Ref"/>
    </sheetNames>
    <sheetDataSet>
      <sheetData sheetId="1">
        <row r="4">
          <cell r="C4">
            <v>1.03</v>
          </cell>
        </row>
        <row r="5">
          <cell r="C5">
            <v>1.03</v>
          </cell>
        </row>
        <row r="6">
          <cell r="C6">
            <v>1.03</v>
          </cell>
        </row>
        <row r="7">
          <cell r="C7">
            <v>1.03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financialaid.uc.edu/fees/costs15.html"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financialaid.uc.edu/fees/costs15.html"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financialaid.uc.edu/fees/costs15.html"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financialaid.uc.edu/fees/costs15.html"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financialaid.uc.edu/fees/costs15.html"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71"/>
  <sheetViews>
    <sheetView tabSelected="1" workbookViewId="0" topLeftCell="A1">
      <selection activeCell="A1" sqref="A1"/>
    </sheetView>
  </sheetViews>
  <sheetFormatPr defaultColWidth="9.00390625" defaultRowHeight="15.75"/>
  <sheetData>
    <row r="1" s="77" customFormat="1" ht="18.75">
      <c r="A1" s="77" t="s">
        <v>106</v>
      </c>
    </row>
    <row r="3" s="71" customFormat="1" ht="15.75">
      <c r="A3" s="71" t="s">
        <v>99</v>
      </c>
    </row>
    <row r="4" ht="15.75">
      <c r="A4" t="s">
        <v>73</v>
      </c>
    </row>
    <row r="5" ht="15.75">
      <c r="B5" t="s">
        <v>81</v>
      </c>
    </row>
    <row r="6" spans="1:2" ht="19.5">
      <c r="A6" s="91" t="s">
        <v>108</v>
      </c>
      <c r="B6" s="96" t="s">
        <v>107</v>
      </c>
    </row>
    <row r="7" spans="1:2" ht="19.5">
      <c r="A7" s="97"/>
      <c r="B7" s="71" t="s">
        <v>121</v>
      </c>
    </row>
    <row r="9" ht="15.75">
      <c r="A9" t="s">
        <v>110</v>
      </c>
    </row>
    <row r="10" ht="15.75">
      <c r="B10" t="s">
        <v>207</v>
      </c>
    </row>
    <row r="11" ht="15.75">
      <c r="C11" t="s">
        <v>208</v>
      </c>
    </row>
    <row r="12" ht="15.75">
      <c r="B12" t="s">
        <v>209</v>
      </c>
    </row>
    <row r="13" ht="15.75">
      <c r="B13" t="s">
        <v>82</v>
      </c>
    </row>
    <row r="14" ht="15.75">
      <c r="B14" t="s">
        <v>83</v>
      </c>
    </row>
    <row r="15" ht="15.75">
      <c r="B15" t="s">
        <v>111</v>
      </c>
    </row>
    <row r="17" ht="15.75">
      <c r="B17" t="s">
        <v>84</v>
      </c>
    </row>
    <row r="18" ht="15.75">
      <c r="C18" t="s">
        <v>85</v>
      </c>
    </row>
    <row r="20" ht="15.75">
      <c r="B20" t="s">
        <v>100</v>
      </c>
    </row>
    <row r="21" ht="15.75">
      <c r="C21" t="s">
        <v>112</v>
      </c>
    </row>
    <row r="22" ht="15.75">
      <c r="C22" s="71" t="s">
        <v>113</v>
      </c>
    </row>
    <row r="23" ht="15.75">
      <c r="C23" s="71"/>
    </row>
    <row r="24" ht="15.75">
      <c r="B24" t="s">
        <v>118</v>
      </c>
    </row>
    <row r="25" ht="15.75">
      <c r="C25" s="71" t="s">
        <v>114</v>
      </c>
    </row>
    <row r="27" ht="15.75">
      <c r="B27" t="s">
        <v>86</v>
      </c>
    </row>
    <row r="29" spans="2:12" ht="15.75" customHeight="1">
      <c r="B29" s="286" t="s">
        <v>122</v>
      </c>
      <c r="C29" s="286"/>
      <c r="D29" s="286"/>
      <c r="E29" s="286"/>
      <c r="F29" s="286"/>
      <c r="G29" s="286"/>
      <c r="H29" s="286"/>
      <c r="I29" s="286"/>
      <c r="J29" s="286"/>
      <c r="K29" s="286"/>
      <c r="L29" s="286"/>
    </row>
    <row r="30" spans="2:12" ht="15.75">
      <c r="B30" s="286"/>
      <c r="C30" s="286"/>
      <c r="D30" s="286"/>
      <c r="E30" s="286"/>
      <c r="F30" s="286"/>
      <c r="G30" s="286"/>
      <c r="H30" s="286"/>
      <c r="I30" s="286"/>
      <c r="J30" s="286"/>
      <c r="K30" s="286"/>
      <c r="L30" s="286"/>
    </row>
    <row r="31" spans="2:12" ht="15.75" hidden="1">
      <c r="B31" s="286"/>
      <c r="C31" s="286"/>
      <c r="D31" s="286"/>
      <c r="E31" s="286"/>
      <c r="F31" s="286"/>
      <c r="G31" s="286"/>
      <c r="H31" s="286"/>
      <c r="I31" s="286"/>
      <c r="J31" s="286"/>
      <c r="K31" s="286"/>
      <c r="L31" s="286"/>
    </row>
    <row r="32" spans="2:12" ht="15.75">
      <c r="B32" s="92"/>
      <c r="C32" s="92"/>
      <c r="D32" s="92"/>
      <c r="E32" s="92"/>
      <c r="F32" s="92"/>
      <c r="G32" s="92"/>
      <c r="H32" s="92"/>
      <c r="I32" s="92"/>
      <c r="J32" s="92"/>
      <c r="K32" s="92"/>
      <c r="L32" s="92"/>
    </row>
    <row r="33" ht="15.75">
      <c r="B33" t="s">
        <v>115</v>
      </c>
    </row>
    <row r="34" ht="15.75">
      <c r="B34" t="s">
        <v>117</v>
      </c>
    </row>
    <row r="35" ht="15.75">
      <c r="C35" s="71" t="s">
        <v>74</v>
      </c>
    </row>
    <row r="36" spans="11:13" ht="15.75">
      <c r="K36" s="287">
        <f>'RATES-Fed'!Q64</f>
        <v>0</v>
      </c>
      <c r="L36" s="287"/>
      <c r="M36" s="287"/>
    </row>
    <row r="38" spans="2:12" ht="15.75">
      <c r="B38" s="286" t="s">
        <v>116</v>
      </c>
      <c r="C38" s="286"/>
      <c r="D38" s="286"/>
      <c r="E38" s="286"/>
      <c r="F38" s="286"/>
      <c r="G38" s="286"/>
      <c r="H38" s="286"/>
      <c r="I38" s="286"/>
      <c r="J38" s="286"/>
      <c r="K38" s="286"/>
      <c r="L38" s="286"/>
    </row>
    <row r="39" spans="2:12" ht="15.75">
      <c r="B39" s="286"/>
      <c r="C39" s="286"/>
      <c r="D39" s="286"/>
      <c r="E39" s="286"/>
      <c r="F39" s="286"/>
      <c r="G39" s="286"/>
      <c r="H39" s="286"/>
      <c r="I39" s="286"/>
      <c r="J39" s="286"/>
      <c r="K39" s="286"/>
      <c r="L39" s="286"/>
    </row>
    <row r="40" spans="2:12" ht="15.75">
      <c r="B40" s="92"/>
      <c r="C40" s="92"/>
      <c r="D40" s="92"/>
      <c r="E40" s="92"/>
      <c r="F40" s="92"/>
      <c r="G40" s="92"/>
      <c r="H40" s="92"/>
      <c r="I40" s="92"/>
      <c r="J40" s="92"/>
      <c r="K40" s="92"/>
      <c r="L40" s="92"/>
    </row>
    <row r="41" spans="2:12" ht="15.75">
      <c r="B41" s="286" t="s">
        <v>119</v>
      </c>
      <c r="C41" s="286"/>
      <c r="D41" s="286"/>
      <c r="E41" s="286"/>
      <c r="F41" s="286"/>
      <c r="G41" s="286"/>
      <c r="H41" s="286"/>
      <c r="I41" s="286"/>
      <c r="J41" s="286"/>
      <c r="K41" s="286"/>
      <c r="L41" s="92"/>
    </row>
    <row r="42" spans="2:12" ht="15.75">
      <c r="B42" s="92"/>
      <c r="C42" s="92"/>
      <c r="D42" s="92"/>
      <c r="E42" s="92"/>
      <c r="F42" s="92"/>
      <c r="G42" s="92"/>
      <c r="H42" s="92"/>
      <c r="I42" s="92"/>
      <c r="J42" s="92"/>
      <c r="K42" s="92"/>
      <c r="L42" s="92"/>
    </row>
    <row r="43" ht="15.75">
      <c r="B43" t="s">
        <v>75</v>
      </c>
    </row>
    <row r="45" ht="15.75">
      <c r="B45" t="s">
        <v>76</v>
      </c>
    </row>
    <row r="47" ht="15.75">
      <c r="B47" t="s">
        <v>77</v>
      </c>
    </row>
    <row r="49" ht="15.75">
      <c r="B49" t="s">
        <v>78</v>
      </c>
    </row>
    <row r="50" ht="15.75">
      <c r="B50" t="s">
        <v>79</v>
      </c>
    </row>
    <row r="52" ht="15.75">
      <c r="B52" t="s">
        <v>80</v>
      </c>
    </row>
    <row r="53" ht="15.75">
      <c r="B53" s="71" t="s">
        <v>120</v>
      </c>
    </row>
    <row r="71" spans="11:13" ht="15.75">
      <c r="K71" s="287">
        <f>'RATES-Fed'!Q64</f>
        <v>0</v>
      </c>
      <c r="L71" s="287"/>
      <c r="M71" s="287"/>
    </row>
  </sheetData>
  <sheetProtection/>
  <mergeCells count="5">
    <mergeCell ref="B29:L31"/>
    <mergeCell ref="B38:L39"/>
    <mergeCell ref="B41:K41"/>
    <mergeCell ref="K36:M36"/>
    <mergeCell ref="K71:M71"/>
  </mergeCells>
  <printOptions/>
  <pageMargins left="0.49" right="0.51" top="0.49" bottom="0.5" header="0.5" footer="0.5"/>
  <pageSetup horizontalDpi="300" verticalDpi="300" orientation="landscape" r:id="rId1"/>
</worksheet>
</file>

<file path=xl/worksheets/sheet10.xml><?xml version="1.0" encoding="utf-8"?>
<worksheet xmlns="http://schemas.openxmlformats.org/spreadsheetml/2006/main" xmlns:r="http://schemas.openxmlformats.org/officeDocument/2006/relationships">
  <dimension ref="A1:I12"/>
  <sheetViews>
    <sheetView zoomScalePageLayoutView="0" workbookViewId="0" topLeftCell="A1">
      <selection activeCell="A1" sqref="A1"/>
    </sheetView>
  </sheetViews>
  <sheetFormatPr defaultColWidth="10.00390625" defaultRowHeight="15.75"/>
  <cols>
    <col min="1" max="4" width="10.00390625" style="89" customWidth="1"/>
    <col min="5" max="6" width="10.875" style="89" customWidth="1"/>
    <col min="7" max="8" width="10.00390625" style="89" customWidth="1"/>
    <col min="9" max="9" width="10.875" style="89" customWidth="1"/>
    <col min="10" max="16384" width="10.00390625" style="89" customWidth="1"/>
  </cols>
  <sheetData>
    <row r="1" ht="15">
      <c r="B1" s="103" t="s">
        <v>135</v>
      </c>
    </row>
    <row r="2" spans="5:8" ht="15">
      <c r="E2" s="104"/>
      <c r="F2" s="102"/>
      <c r="H2" s="102"/>
    </row>
    <row r="3" spans="5:8" ht="15">
      <c r="E3" s="104"/>
      <c r="F3" s="102"/>
      <c r="H3" s="102"/>
    </row>
    <row r="4" spans="5:8" ht="15">
      <c r="E4" s="104"/>
      <c r="F4" s="102"/>
      <c r="H4" s="102"/>
    </row>
    <row r="5" spans="5:8" ht="15">
      <c r="E5" s="104"/>
      <c r="F5" s="102"/>
      <c r="H5" s="102"/>
    </row>
    <row r="6" spans="5:8" ht="15">
      <c r="E6" s="104"/>
      <c r="F6" s="102"/>
      <c r="H6" s="102"/>
    </row>
    <row r="7" spans="8:9" ht="15">
      <c r="H7" s="102"/>
      <c r="I7" s="102"/>
    </row>
    <row r="8" ht="15">
      <c r="H8" s="102"/>
    </row>
    <row r="9" spans="1:4" ht="15">
      <c r="A9" s="102"/>
      <c r="C9" s="102" t="s">
        <v>132</v>
      </c>
      <c r="D9" s="102" t="s">
        <v>134</v>
      </c>
    </row>
    <row r="10" spans="3:4" ht="15">
      <c r="C10" s="102" t="s">
        <v>131</v>
      </c>
      <c r="D10" s="102" t="s">
        <v>133</v>
      </c>
    </row>
    <row r="11" spans="1:4" ht="15">
      <c r="A11" s="102"/>
      <c r="C11" s="102"/>
      <c r="D11" s="102"/>
    </row>
    <row r="12" spans="3:4" ht="15">
      <c r="C12" s="102"/>
      <c r="D12" s="102"/>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P83"/>
  <sheetViews>
    <sheetView showGridLines="0" zoomScale="75" zoomScaleNormal="75" workbookViewId="0" topLeftCell="A1">
      <selection activeCell="A1" sqref="A1"/>
    </sheetView>
  </sheetViews>
  <sheetFormatPr defaultColWidth="9.625" defaultRowHeight="15.75"/>
  <cols>
    <col min="1" max="2" width="2.625" style="0" customWidth="1"/>
    <col min="3" max="3" width="20.50390625" style="0" customWidth="1"/>
    <col min="4" max="4" width="16.125" style="0" customWidth="1"/>
    <col min="5" max="5" width="8.75390625" style="0" customWidth="1"/>
    <col min="6" max="6" width="7.625" style="0" customWidth="1"/>
    <col min="7" max="7" width="9.875" style="0" customWidth="1"/>
    <col min="8" max="8" width="7.25390625" style="0" customWidth="1"/>
    <col min="9" max="9" width="7.25390625" style="0" hidden="1" customWidth="1"/>
    <col min="10" max="10" width="13.75390625" style="0" customWidth="1"/>
    <col min="11" max="11" width="8.125" style="168" bestFit="1" customWidth="1"/>
    <col min="12" max="12" width="10.125" style="188" bestFit="1" customWidth="1"/>
    <col min="13" max="13" width="14.625" style="0" customWidth="1"/>
    <col min="14" max="14" width="2.625" style="0" customWidth="1"/>
  </cols>
  <sheetData>
    <row r="1" spans="1:11" ht="18.75">
      <c r="A1" s="17" t="s">
        <v>0</v>
      </c>
      <c r="B1" s="18"/>
      <c r="C1" s="18"/>
      <c r="D1" s="18"/>
      <c r="E1" s="18"/>
      <c r="F1" s="18"/>
      <c r="G1" s="18"/>
      <c r="H1" s="18"/>
      <c r="I1" s="18"/>
      <c r="J1" s="19"/>
      <c r="K1" s="154"/>
    </row>
    <row r="2" spans="1:12" ht="18.75">
      <c r="A2" s="17" t="s">
        <v>218</v>
      </c>
      <c r="B2" s="18"/>
      <c r="C2" s="18"/>
      <c r="D2" s="18"/>
      <c r="E2" s="18"/>
      <c r="F2" s="18"/>
      <c r="G2" s="18"/>
      <c r="H2" s="18"/>
      <c r="I2" s="18"/>
      <c r="J2" s="19"/>
      <c r="K2" s="154"/>
      <c r="L2" s="176"/>
    </row>
    <row r="3" spans="1:13" ht="9.75" customHeight="1">
      <c r="A3" s="10" t="s">
        <v>1</v>
      </c>
      <c r="B3" s="1"/>
      <c r="J3" s="11" t="s">
        <v>1</v>
      </c>
      <c r="K3" s="155"/>
      <c r="L3" s="177"/>
      <c r="M3" s="8"/>
    </row>
    <row r="4" spans="1:15" ht="15.75">
      <c r="A4" s="22" t="s">
        <v>2</v>
      </c>
      <c r="B4" s="1"/>
      <c r="D4" s="10" t="s">
        <v>72</v>
      </c>
      <c r="G4" s="3"/>
      <c r="I4" s="203" t="s">
        <v>72</v>
      </c>
      <c r="J4" s="20" t="s">
        <v>3</v>
      </c>
      <c r="K4" s="291" t="s">
        <v>72</v>
      </c>
      <c r="L4" s="292"/>
      <c r="M4" s="292"/>
      <c r="N4" s="292"/>
      <c r="O4" s="293"/>
    </row>
    <row r="5" spans="1:15" ht="18.75" customHeight="1">
      <c r="A5" s="22" t="s">
        <v>4</v>
      </c>
      <c r="B5" s="1"/>
      <c r="D5" s="10" t="s">
        <v>72</v>
      </c>
      <c r="E5" s="3"/>
      <c r="F5" s="3"/>
      <c r="H5" s="38"/>
      <c r="I5" s="205"/>
      <c r="K5" s="294"/>
      <c r="L5" s="295"/>
      <c r="M5" s="295"/>
      <c r="N5" s="295"/>
      <c r="O5" s="296"/>
    </row>
    <row r="6" spans="1:13" ht="15.75">
      <c r="A6" s="14"/>
      <c r="B6" s="22" t="s">
        <v>5</v>
      </c>
      <c r="D6" s="73">
        <f>'RATES-Fed'!E2</f>
        <v>42917</v>
      </c>
      <c r="E6" s="12" t="s">
        <v>6</v>
      </c>
      <c r="F6" s="12"/>
      <c r="G6" s="73">
        <f>'RATES-Fed'!G2</f>
        <v>44742</v>
      </c>
      <c r="H6" s="4"/>
      <c r="I6" s="4"/>
      <c r="J6" s="2"/>
      <c r="K6" s="156"/>
      <c r="L6" s="178"/>
      <c r="M6" s="8"/>
    </row>
    <row r="7" spans="5:14" ht="7.5" customHeight="1">
      <c r="E7" s="3"/>
      <c r="F7" s="3"/>
      <c r="G7" s="1"/>
      <c r="H7" s="1"/>
      <c r="I7" s="1"/>
      <c r="J7" s="16" t="s">
        <v>1</v>
      </c>
      <c r="K7" s="155"/>
      <c r="L7" s="177"/>
      <c r="M7" s="8"/>
      <c r="N7" s="1"/>
    </row>
    <row r="8" spans="1:14" ht="15.75">
      <c r="A8" s="21"/>
      <c r="B8" s="21"/>
      <c r="C8" s="21"/>
      <c r="D8" s="21"/>
      <c r="E8" s="21"/>
      <c r="F8" s="21"/>
      <c r="G8" s="21"/>
      <c r="H8" s="21"/>
      <c r="I8" s="21"/>
      <c r="J8" s="288" t="s">
        <v>22</v>
      </c>
      <c r="K8" s="289"/>
      <c r="L8" s="290"/>
      <c r="M8" s="174" t="s">
        <v>8</v>
      </c>
      <c r="N8" s="21"/>
    </row>
    <row r="9" spans="1:14" s="149" customFormat="1" ht="15.75">
      <c r="A9" s="147" t="s">
        <v>9</v>
      </c>
      <c r="B9" s="147" t="s">
        <v>10</v>
      </c>
      <c r="C9" s="147"/>
      <c r="D9" s="147"/>
      <c r="E9" s="147"/>
      <c r="F9" s="147"/>
      <c r="G9" s="147"/>
      <c r="H9" s="147"/>
      <c r="I9" s="147"/>
      <c r="J9" s="192" t="s">
        <v>211</v>
      </c>
      <c r="K9" s="157" t="s">
        <v>212</v>
      </c>
      <c r="L9" s="147" t="s">
        <v>213</v>
      </c>
      <c r="M9" s="148"/>
      <c r="N9" s="147"/>
    </row>
    <row r="10" spans="1:14" ht="15.75">
      <c r="A10" s="1"/>
      <c r="B10" s="23" t="s">
        <v>11</v>
      </c>
      <c r="C10" s="24"/>
      <c r="D10" s="24" t="s">
        <v>104</v>
      </c>
      <c r="E10" s="1" t="s">
        <v>12</v>
      </c>
      <c r="F10" s="41" t="s">
        <v>130</v>
      </c>
      <c r="G10" s="41" t="s">
        <v>13</v>
      </c>
      <c r="H10" s="1"/>
      <c r="I10" s="1"/>
      <c r="J10" s="193"/>
      <c r="K10" s="155"/>
      <c r="L10" s="145"/>
      <c r="M10" s="2">
        <f>IF(SUM(J10:L10)=0,"",SUM(J10:L10))</f>
      </c>
      <c r="N10" s="1"/>
    </row>
    <row r="11" spans="1:14" ht="15.75">
      <c r="A11" s="1"/>
      <c r="B11" s="1" t="s">
        <v>14</v>
      </c>
      <c r="C11" s="10" t="str">
        <f>D5</f>
        <v>name</v>
      </c>
      <c r="D11" s="142" t="s">
        <v>132</v>
      </c>
      <c r="E11" s="70">
        <v>0</v>
      </c>
      <c r="F11" s="101">
        <f aca="true" t="shared" si="0" ref="F11:F18">IF(D11="CAL",(52*E11/4.3333),(IF(D11="ACAD",(32*E11/4.33333),IF(D11="SUMR",(14*E11/4.33333),IF(D11="PT",(0),0)))))</f>
        <v>0</v>
      </c>
      <c r="G11" s="69">
        <v>0</v>
      </c>
      <c r="J11" s="190">
        <f>ROUND(G11*E11,0)</f>
        <v>0</v>
      </c>
      <c r="K11" s="158">
        <f>ROUND(J11*'RATES-Fed'!E36,0)</f>
        <v>0</v>
      </c>
      <c r="L11" s="67">
        <f>ROUND(K11+J11,0)</f>
        <v>0</v>
      </c>
      <c r="M11" s="42">
        <f>SUM(L11)</f>
        <v>0</v>
      </c>
      <c r="N11" s="1"/>
    </row>
    <row r="12" spans="1:14" ht="15.75">
      <c r="A12" s="1"/>
      <c r="B12" s="1" t="s">
        <v>14</v>
      </c>
      <c r="C12" s="3"/>
      <c r="D12" s="142" t="str">
        <f>IF(D11="ACAD",("SUMR"),"")</f>
        <v>SUMR</v>
      </c>
      <c r="E12" s="70">
        <v>0</v>
      </c>
      <c r="F12" s="101">
        <f t="shared" si="0"/>
        <v>0</v>
      </c>
      <c r="G12" s="69">
        <f>+G11*0.4375</f>
        <v>0</v>
      </c>
      <c r="J12" s="190">
        <f aca="true" t="shared" si="1" ref="J12:J18">ROUND(G12*E12,0)</f>
        <v>0</v>
      </c>
      <c r="K12" s="158">
        <f>ROUND(J12*'RATES-Fed'!E36,0)</f>
        <v>0</v>
      </c>
      <c r="L12" s="67">
        <f aca="true" t="shared" si="2" ref="L12:L18">ROUND(K12+J12,0)</f>
        <v>0</v>
      </c>
      <c r="M12" s="42">
        <f aca="true" t="shared" si="3" ref="M12:M18">SUM(L12)</f>
        <v>0</v>
      </c>
      <c r="N12" s="1"/>
    </row>
    <row r="13" spans="1:14" ht="15.75">
      <c r="A13" s="1"/>
      <c r="B13" s="1" t="s">
        <v>15</v>
      </c>
      <c r="C13" s="3"/>
      <c r="D13" s="142" t="s">
        <v>132</v>
      </c>
      <c r="E13" s="70">
        <v>0</v>
      </c>
      <c r="F13" s="101">
        <f t="shared" si="0"/>
        <v>0</v>
      </c>
      <c r="G13" s="69">
        <v>0</v>
      </c>
      <c r="J13" s="190">
        <f t="shared" si="1"/>
        <v>0</v>
      </c>
      <c r="K13" s="158">
        <f>ROUND(J13*'RATES-Fed'!E36,0)</f>
        <v>0</v>
      </c>
      <c r="L13" s="67">
        <f t="shared" si="2"/>
        <v>0</v>
      </c>
      <c r="M13" s="42">
        <f t="shared" si="3"/>
        <v>0</v>
      </c>
      <c r="N13" s="1"/>
    </row>
    <row r="14" spans="1:13" ht="15.75">
      <c r="A14" s="1"/>
      <c r="B14" s="1"/>
      <c r="C14" s="3"/>
      <c r="D14" s="142" t="str">
        <f>IF(D13="ACAD",("SUMR"),"")</f>
        <v>SUMR</v>
      </c>
      <c r="E14" s="70">
        <v>0</v>
      </c>
      <c r="F14" s="101">
        <f t="shared" si="0"/>
        <v>0</v>
      </c>
      <c r="G14" s="69">
        <f>+G13*0.4375</f>
        <v>0</v>
      </c>
      <c r="J14" s="190">
        <f t="shared" si="1"/>
        <v>0</v>
      </c>
      <c r="K14" s="158">
        <f>ROUND(J14*'RATES-Fed'!E36,0)</f>
        <v>0</v>
      </c>
      <c r="L14" s="67">
        <f t="shared" si="2"/>
        <v>0</v>
      </c>
      <c r="M14" s="42">
        <f t="shared" si="3"/>
        <v>0</v>
      </c>
    </row>
    <row r="15" spans="1:14" ht="15.75">
      <c r="A15" s="1"/>
      <c r="B15" s="1" t="s">
        <v>15</v>
      </c>
      <c r="C15" s="3"/>
      <c r="D15" s="142" t="s">
        <v>131</v>
      </c>
      <c r="E15" s="70">
        <v>0</v>
      </c>
      <c r="F15" s="101">
        <f t="shared" si="0"/>
        <v>0</v>
      </c>
      <c r="G15" s="69">
        <v>0</v>
      </c>
      <c r="J15" s="190">
        <f t="shared" si="1"/>
        <v>0</v>
      </c>
      <c r="K15" s="158">
        <f>ROUND(J15*'RATES-Fed'!E36,0)</f>
        <v>0</v>
      </c>
      <c r="L15" s="67">
        <f t="shared" si="2"/>
        <v>0</v>
      </c>
      <c r="M15" s="42">
        <f t="shared" si="3"/>
        <v>0</v>
      </c>
      <c r="N15" s="1"/>
    </row>
    <row r="16" spans="1:13" ht="15.75">
      <c r="A16" s="1"/>
      <c r="B16" s="1"/>
      <c r="C16" s="3"/>
      <c r="D16" s="142">
        <f>IF(D15="ACAD",("SUMR"),"")</f>
      </c>
      <c r="E16" s="70">
        <v>0</v>
      </c>
      <c r="F16" s="101">
        <f t="shared" si="0"/>
        <v>0</v>
      </c>
      <c r="G16" s="69">
        <f>+G15*0.4375</f>
        <v>0</v>
      </c>
      <c r="J16" s="190">
        <f t="shared" si="1"/>
        <v>0</v>
      </c>
      <c r="K16" s="158">
        <f>ROUND(J16*'RATES-Fed'!E36,0)</f>
        <v>0</v>
      </c>
      <c r="L16" s="67">
        <f t="shared" si="2"/>
        <v>0</v>
      </c>
      <c r="M16" s="42">
        <f t="shared" si="3"/>
        <v>0</v>
      </c>
    </row>
    <row r="17" spans="1:14" ht="15.75">
      <c r="A17" s="1"/>
      <c r="B17" s="1" t="s">
        <v>15</v>
      </c>
      <c r="C17" s="3"/>
      <c r="D17" s="142" t="s">
        <v>131</v>
      </c>
      <c r="E17" s="70">
        <v>0</v>
      </c>
      <c r="F17" s="101">
        <f t="shared" si="0"/>
        <v>0</v>
      </c>
      <c r="G17" s="69">
        <v>0</v>
      </c>
      <c r="J17" s="190">
        <f t="shared" si="1"/>
        <v>0</v>
      </c>
      <c r="K17" s="158">
        <f>ROUND(J17*'RATES-Fed'!E36,0)</f>
        <v>0</v>
      </c>
      <c r="L17" s="67">
        <f t="shared" si="2"/>
        <v>0</v>
      </c>
      <c r="M17" s="42">
        <f t="shared" si="3"/>
        <v>0</v>
      </c>
      <c r="N17" s="1"/>
    </row>
    <row r="18" spans="1:13" ht="15.75">
      <c r="A18" s="1"/>
      <c r="B18" s="1" t="s">
        <v>15</v>
      </c>
      <c r="C18" s="3"/>
      <c r="D18" s="142" t="s">
        <v>131</v>
      </c>
      <c r="E18" s="70">
        <v>0</v>
      </c>
      <c r="F18" s="101">
        <f t="shared" si="0"/>
        <v>0</v>
      </c>
      <c r="G18" s="69">
        <v>0</v>
      </c>
      <c r="J18" s="190">
        <f t="shared" si="1"/>
        <v>0</v>
      </c>
      <c r="K18" s="158">
        <f>ROUND(J18*'RATES-Fed'!E36,0)</f>
        <v>0</v>
      </c>
      <c r="L18" s="67">
        <f t="shared" si="2"/>
        <v>0</v>
      </c>
      <c r="M18" s="42">
        <f t="shared" si="3"/>
        <v>0</v>
      </c>
    </row>
    <row r="19" spans="1:14" ht="15.75">
      <c r="A19" s="1"/>
      <c r="B19" s="1"/>
      <c r="C19" s="1"/>
      <c r="D19" s="25" t="s">
        <v>16</v>
      </c>
      <c r="E19" s="26"/>
      <c r="F19" s="26"/>
      <c r="G19" s="1"/>
      <c r="H19" s="1"/>
      <c r="I19" s="1"/>
      <c r="J19" s="194">
        <f>SUM(J11:J18)</f>
        <v>0</v>
      </c>
      <c r="K19" s="159">
        <f>SUM(K11:K18)</f>
        <v>0</v>
      </c>
      <c r="L19" s="46">
        <f>SUM(L11:L18)</f>
        <v>0</v>
      </c>
      <c r="M19" s="42">
        <f>SUM(M11:M18)</f>
        <v>0</v>
      </c>
      <c r="N19" s="6"/>
    </row>
    <row r="20" spans="1:14" ht="7.5" customHeight="1">
      <c r="A20" s="1"/>
      <c r="B20" s="1"/>
      <c r="C20" s="1"/>
      <c r="D20" s="26"/>
      <c r="E20" s="26"/>
      <c r="F20" s="26"/>
      <c r="G20" s="1"/>
      <c r="H20" s="1"/>
      <c r="I20" s="1"/>
      <c r="J20" s="195"/>
      <c r="K20" s="159"/>
      <c r="L20" s="46"/>
      <c r="M20" s="42"/>
      <c r="N20" s="6"/>
    </row>
    <row r="21" spans="1:14" ht="15.75">
      <c r="A21" s="22" t="s">
        <v>17</v>
      </c>
      <c r="B21" s="22" t="s">
        <v>18</v>
      </c>
      <c r="C21" s="1"/>
      <c r="D21" s="26"/>
      <c r="E21" s="1"/>
      <c r="F21" s="1"/>
      <c r="G21" s="41"/>
      <c r="H21" s="1"/>
      <c r="I21" s="1"/>
      <c r="J21" s="193"/>
      <c r="K21" s="155"/>
      <c r="L21" s="145"/>
      <c r="M21" s="42"/>
      <c r="N21" s="6"/>
    </row>
    <row r="22" spans="1:14" ht="15.75">
      <c r="A22" s="1"/>
      <c r="C22" s="13" t="s">
        <v>89</v>
      </c>
      <c r="D22" s="41" t="s">
        <v>128</v>
      </c>
      <c r="E22" s="68"/>
      <c r="F22" s="68"/>
      <c r="G22" s="59"/>
      <c r="J22" s="190"/>
      <c r="K22" s="160"/>
      <c r="L22" s="50"/>
      <c r="M22" s="42"/>
      <c r="N22" s="5"/>
    </row>
    <row r="23" spans="1:14" ht="15.75">
      <c r="A23" s="1"/>
      <c r="C23" s="13"/>
      <c r="D23" s="1"/>
      <c r="E23" s="70">
        <v>0</v>
      </c>
      <c r="F23" s="100">
        <f>SUM(52*E23/4.33)</f>
        <v>0</v>
      </c>
      <c r="G23" s="69">
        <v>0</v>
      </c>
      <c r="J23" s="190">
        <f>ROUND(G23*E23,0)</f>
        <v>0</v>
      </c>
      <c r="K23" s="160">
        <f>ROUND(J23*'RATES-Fed'!E37,0)</f>
        <v>0</v>
      </c>
      <c r="L23" s="50">
        <f>SUM(J23:K23)</f>
        <v>0</v>
      </c>
      <c r="M23" s="42">
        <f>SUM(L23)</f>
        <v>0</v>
      </c>
      <c r="N23" s="5"/>
    </row>
    <row r="24" spans="1:14" ht="15.75">
      <c r="A24" s="1"/>
      <c r="C24" s="13"/>
      <c r="D24" s="1"/>
      <c r="E24" s="70">
        <v>0</v>
      </c>
      <c r="F24" s="100">
        <f>SUM(52*E24/4.33)</f>
        <v>0</v>
      </c>
      <c r="G24" s="69">
        <v>0</v>
      </c>
      <c r="J24" s="190">
        <f>ROUND(G24*E24,0)</f>
        <v>0</v>
      </c>
      <c r="K24" s="160">
        <f>ROUND(J24*'RATES-Fed'!E37,0)</f>
        <v>0</v>
      </c>
      <c r="L24" s="50">
        <f>SUM(J24:K24)</f>
        <v>0</v>
      </c>
      <c r="M24" s="42">
        <f>SUM(L24)</f>
        <v>0</v>
      </c>
      <c r="N24" s="5"/>
    </row>
    <row r="25" spans="1:14" ht="15.75">
      <c r="A25" s="1"/>
      <c r="C25" s="13"/>
      <c r="D25" s="1"/>
      <c r="E25" s="70">
        <v>0</v>
      </c>
      <c r="F25" s="100">
        <f>SUM(52*E25/4.33)</f>
        <v>0</v>
      </c>
      <c r="G25" s="69">
        <v>0</v>
      </c>
      <c r="J25" s="190">
        <f>ROUND(G25*E25,0)</f>
        <v>0</v>
      </c>
      <c r="K25" s="160">
        <f>ROUND(J25*'RATES-Fed'!E37,0)</f>
        <v>0</v>
      </c>
      <c r="L25" s="50">
        <f>SUM(J25:K25)</f>
        <v>0</v>
      </c>
      <c r="M25" s="42">
        <f>SUM(L25)</f>
        <v>0</v>
      </c>
      <c r="N25" s="5"/>
    </row>
    <row r="26" spans="1:14" ht="15.75">
      <c r="A26" s="1"/>
      <c r="C26" s="13"/>
      <c r="D26" s="1"/>
      <c r="E26" s="70">
        <v>0</v>
      </c>
      <c r="F26" s="100">
        <f>SUM(52*E26/4.33)</f>
        <v>0</v>
      </c>
      <c r="G26" s="69">
        <v>0</v>
      </c>
      <c r="J26" s="190">
        <f>ROUND(G26*E26,0)</f>
        <v>0</v>
      </c>
      <c r="K26" s="160">
        <f>ROUND(J26*'RATES-Fed'!E37,0)</f>
        <v>0</v>
      </c>
      <c r="L26" s="50">
        <f>SUM(J26:K26)</f>
        <v>0</v>
      </c>
      <c r="M26" s="42">
        <f>SUM(L26)</f>
        <v>0</v>
      </c>
      <c r="N26" s="5"/>
    </row>
    <row r="27" spans="1:14" ht="15.75">
      <c r="A27" s="1"/>
      <c r="C27" s="13"/>
      <c r="D27" s="1" t="s">
        <v>129</v>
      </c>
      <c r="E27" s="70"/>
      <c r="F27" s="70"/>
      <c r="G27" s="69"/>
      <c r="J27" s="196">
        <f>SUM(J23:J26)</f>
        <v>0</v>
      </c>
      <c r="K27" s="160">
        <f>SUM(K23:K26)</f>
        <v>0</v>
      </c>
      <c r="L27" s="50">
        <f>SUM(L23:L26)</f>
        <v>0</v>
      </c>
      <c r="M27" s="42">
        <f>SUM(M23:M26)</f>
        <v>0</v>
      </c>
      <c r="N27" s="5"/>
    </row>
    <row r="28" spans="1:14" ht="9.75" customHeight="1">
      <c r="A28" s="1"/>
      <c r="C28" s="13"/>
      <c r="D28" s="1"/>
      <c r="E28" s="70"/>
      <c r="F28" s="70"/>
      <c r="G28" s="69"/>
      <c r="J28" s="196"/>
      <c r="K28" s="160"/>
      <c r="L28" s="50"/>
      <c r="M28" s="42"/>
      <c r="N28" s="5"/>
    </row>
    <row r="29" spans="1:14" ht="15.75">
      <c r="A29" s="1"/>
      <c r="C29" s="13" t="s">
        <v>90</v>
      </c>
      <c r="D29" s="1"/>
      <c r="E29" s="68"/>
      <c r="F29" s="68"/>
      <c r="G29" s="59"/>
      <c r="J29" s="190">
        <v>0</v>
      </c>
      <c r="K29" s="160">
        <f>ROUND(J29*'RATES-Fed'!E40,0)</f>
        <v>0</v>
      </c>
      <c r="L29" s="50">
        <f>SUM(J29:K29)</f>
        <v>0</v>
      </c>
      <c r="M29" s="42">
        <f>SUM(L29)</f>
        <v>0</v>
      </c>
      <c r="N29" s="5"/>
    </row>
    <row r="30" spans="1:14" ht="15.75">
      <c r="A30" s="1"/>
      <c r="C30" s="13" t="s">
        <v>19</v>
      </c>
      <c r="D30" s="1"/>
      <c r="E30" s="3"/>
      <c r="F30" s="3"/>
      <c r="J30" s="190">
        <v>0</v>
      </c>
      <c r="K30" s="160">
        <f>ROUND(J30*'RATES-Fed'!E39,0)</f>
        <v>0</v>
      </c>
      <c r="L30" s="50">
        <f>SUM(J30:K30)</f>
        <v>0</v>
      </c>
      <c r="M30" s="42">
        <f>SUM(L30)</f>
        <v>0</v>
      </c>
      <c r="N30" s="5"/>
    </row>
    <row r="31" spans="1:14" ht="15.75">
      <c r="A31" s="1"/>
      <c r="C31" s="13" t="s">
        <v>20</v>
      </c>
      <c r="D31" s="1"/>
      <c r="E31" s="3"/>
      <c r="F31" s="3"/>
      <c r="J31" s="190">
        <v>0</v>
      </c>
      <c r="K31" s="160">
        <f>ROUND(J31*'RATES-Fed'!E39,0)</f>
        <v>0</v>
      </c>
      <c r="L31" s="50">
        <f>SUM(J31:K31)</f>
        <v>0</v>
      </c>
      <c r="M31" s="42">
        <f>SUM(L31)</f>
        <v>0</v>
      </c>
      <c r="N31" s="5"/>
    </row>
    <row r="32" spans="1:14" s="96" customFormat="1" ht="15.75">
      <c r="A32" s="145"/>
      <c r="C32" s="144" t="s">
        <v>21</v>
      </c>
      <c r="D32" s="145"/>
      <c r="E32" s="151"/>
      <c r="F32" s="151"/>
      <c r="J32" s="190">
        <v>0</v>
      </c>
      <c r="K32" s="160">
        <f>ROUND(J32*'RATES-Fed'!E40,0)</f>
        <v>0</v>
      </c>
      <c r="L32" s="50">
        <f>SUM(J32:K32)</f>
        <v>0</v>
      </c>
      <c r="M32" s="42">
        <f>SUM(L32)</f>
        <v>0</v>
      </c>
      <c r="N32" s="152"/>
    </row>
    <row r="33" spans="1:14" s="96" customFormat="1" ht="15.75">
      <c r="A33" s="145"/>
      <c r="C33" s="144" t="s">
        <v>91</v>
      </c>
      <c r="D33" s="145"/>
      <c r="E33" s="153"/>
      <c r="F33" s="153"/>
      <c r="G33" s="59"/>
      <c r="J33" s="190">
        <v>0</v>
      </c>
      <c r="K33" s="160">
        <f>ROUND(J33*'RATES-Fed'!E38,0)</f>
        <v>0</v>
      </c>
      <c r="L33" s="50">
        <f>SUM(J33:K33)</f>
        <v>0</v>
      </c>
      <c r="M33" s="42">
        <f>SUM(L33)</f>
        <v>0</v>
      </c>
      <c r="N33" s="152"/>
    </row>
    <row r="34" spans="1:14" ht="15.75">
      <c r="A34" s="1"/>
      <c r="B34" s="1"/>
      <c r="C34" s="1"/>
      <c r="D34" s="191" t="s">
        <v>214</v>
      </c>
      <c r="E34" s="26"/>
      <c r="F34" s="26"/>
      <c r="G34" s="1"/>
      <c r="H34" s="1"/>
      <c r="I34" s="1"/>
      <c r="J34" s="197">
        <f>SUM(J19+J27+J29+J30+J31+J32+J33)</f>
        <v>0</v>
      </c>
      <c r="K34" s="160">
        <f>SUM(K19+K27+K29+K30+K31+K32+K33)</f>
        <v>0</v>
      </c>
      <c r="L34" s="50"/>
      <c r="M34" s="42"/>
      <c r="N34" s="5"/>
    </row>
    <row r="35" spans="1:14" ht="7.5" customHeight="1">
      <c r="A35" s="1"/>
      <c r="B35" s="1"/>
      <c r="C35" s="1"/>
      <c r="D35" s="26"/>
      <c r="E35" s="26"/>
      <c r="F35" s="26"/>
      <c r="G35" s="26"/>
      <c r="H35" s="26"/>
      <c r="I35" s="26"/>
      <c r="J35" s="52"/>
      <c r="K35" s="159"/>
      <c r="L35" s="179"/>
      <c r="M35" s="64" t="s">
        <v>1</v>
      </c>
      <c r="N35" s="6"/>
    </row>
    <row r="36" spans="1:14" s="31" customFormat="1" ht="15.75">
      <c r="A36" s="40" t="s">
        <v>24</v>
      </c>
      <c r="B36" s="21"/>
      <c r="D36" s="28"/>
      <c r="E36" s="28"/>
      <c r="F36" s="28"/>
      <c r="G36" s="28"/>
      <c r="H36" s="28"/>
      <c r="I36" s="28"/>
      <c r="J36" s="47">
        <f>SUM(J34+K34)</f>
        <v>0</v>
      </c>
      <c r="K36" s="161"/>
      <c r="L36" s="181"/>
      <c r="M36" s="47">
        <f>SUM(J36)</f>
        <v>0</v>
      </c>
      <c r="N36" s="29"/>
    </row>
    <row r="37" spans="1:14" ht="8.25" customHeight="1">
      <c r="A37" s="1"/>
      <c r="B37" s="1"/>
      <c r="C37" s="28"/>
      <c r="D37" s="26"/>
      <c r="E37" s="26"/>
      <c r="F37" s="26"/>
      <c r="G37" s="26"/>
      <c r="H37" s="26"/>
      <c r="I37" s="26"/>
      <c r="J37" s="52"/>
      <c r="K37" s="159"/>
      <c r="L37" s="179"/>
      <c r="M37" s="46" t="s">
        <v>1</v>
      </c>
      <c r="N37" s="6"/>
    </row>
    <row r="38" spans="1:14" ht="15.75">
      <c r="A38" s="22" t="s">
        <v>25</v>
      </c>
      <c r="B38" s="22" t="s">
        <v>26</v>
      </c>
      <c r="C38" s="21"/>
      <c r="D38" s="26"/>
      <c r="E38" s="26"/>
      <c r="F38" s="26"/>
      <c r="G38" s="26"/>
      <c r="H38" s="26"/>
      <c r="I38" s="26"/>
      <c r="J38" s="52"/>
      <c r="K38" s="159"/>
      <c r="L38" s="179"/>
      <c r="M38" s="50" t="s">
        <v>1</v>
      </c>
      <c r="N38" s="6"/>
    </row>
    <row r="39" spans="1:14" ht="15.75">
      <c r="A39" s="21"/>
      <c r="B39" s="21"/>
      <c r="C39" s="10" t="s">
        <v>27</v>
      </c>
      <c r="D39" s="30"/>
      <c r="E39" s="30"/>
      <c r="F39" s="30"/>
      <c r="G39" s="30"/>
      <c r="H39" s="30"/>
      <c r="I39" s="30"/>
      <c r="J39" s="42">
        <v>0</v>
      </c>
      <c r="K39" s="159"/>
      <c r="L39" s="179"/>
      <c r="M39" s="42">
        <f>SUM(J39:L39)</f>
        <v>0</v>
      </c>
      <c r="N39" s="6"/>
    </row>
    <row r="40" spans="1:14" ht="15.75">
      <c r="A40" s="21"/>
      <c r="B40" s="21"/>
      <c r="C40" s="10" t="s">
        <v>27</v>
      </c>
      <c r="D40" s="30"/>
      <c r="E40" s="30"/>
      <c r="F40" s="30"/>
      <c r="G40" s="30"/>
      <c r="H40" s="30"/>
      <c r="I40" s="30"/>
      <c r="J40" s="42">
        <v>0</v>
      </c>
      <c r="K40" s="159"/>
      <c r="L40" s="179"/>
      <c r="M40" s="42">
        <f>SUM(J40:L40)</f>
        <v>0</v>
      </c>
      <c r="N40" s="6"/>
    </row>
    <row r="41" spans="1:14" ht="15.75">
      <c r="A41" s="21"/>
      <c r="B41" s="21"/>
      <c r="C41" s="27" t="s">
        <v>28</v>
      </c>
      <c r="D41" s="28"/>
      <c r="E41" s="28"/>
      <c r="F41" s="28"/>
      <c r="G41" s="28"/>
      <c r="H41" s="28"/>
      <c r="I41" s="28"/>
      <c r="J41" s="53">
        <f>SUM(J39:J40)</f>
        <v>0</v>
      </c>
      <c r="K41" s="162"/>
      <c r="L41" s="182"/>
      <c r="M41" s="53">
        <f>SUM(J41:L41)</f>
        <v>0</v>
      </c>
      <c r="N41" s="29"/>
    </row>
    <row r="42" spans="1:14" ht="9" customHeight="1">
      <c r="A42" s="1"/>
      <c r="B42" s="1"/>
      <c r="C42" s="28"/>
      <c r="D42" s="26"/>
      <c r="E42" s="26"/>
      <c r="F42" s="26"/>
      <c r="G42" s="26"/>
      <c r="H42" s="26"/>
      <c r="I42" s="26"/>
      <c r="J42" s="52"/>
      <c r="K42" s="159"/>
      <c r="L42" s="179"/>
      <c r="M42" s="46"/>
      <c r="N42" s="6"/>
    </row>
    <row r="43" spans="1:14" ht="15.75">
      <c r="A43" s="22" t="s">
        <v>29</v>
      </c>
      <c r="B43" s="22" t="s">
        <v>30</v>
      </c>
      <c r="C43" s="1"/>
      <c r="D43" s="21"/>
      <c r="E43" s="21"/>
      <c r="F43" s="21"/>
      <c r="G43" s="1"/>
      <c r="H43" s="1"/>
      <c r="I43" s="1"/>
      <c r="J43" s="54" t="s">
        <v>1</v>
      </c>
      <c r="K43" s="160"/>
      <c r="L43" s="180"/>
      <c r="M43" s="45"/>
      <c r="N43" s="5"/>
    </row>
    <row r="44" spans="1:14" ht="15.75">
      <c r="A44" s="21"/>
      <c r="B44" s="21"/>
      <c r="C44" s="13" t="s">
        <v>31</v>
      </c>
      <c r="D44" s="10" t="s">
        <v>27</v>
      </c>
      <c r="E44" s="31"/>
      <c r="F44" s="31"/>
      <c r="J44" s="42">
        <v>0</v>
      </c>
      <c r="K44" s="160"/>
      <c r="L44" s="180"/>
      <c r="M44" s="42">
        <f>SUM(J44:L44)</f>
        <v>0</v>
      </c>
      <c r="N44" s="5"/>
    </row>
    <row r="45" spans="1:14" ht="15.75">
      <c r="A45" s="21"/>
      <c r="B45" s="21"/>
      <c r="C45" s="13" t="s">
        <v>32</v>
      </c>
      <c r="D45" s="10" t="s">
        <v>27</v>
      </c>
      <c r="E45" s="31"/>
      <c r="F45" s="31"/>
      <c r="J45" s="42">
        <v>0</v>
      </c>
      <c r="K45" s="160"/>
      <c r="L45" s="180"/>
      <c r="M45" s="42">
        <f>SUM(J45:L45)</f>
        <v>0</v>
      </c>
      <c r="N45" s="5"/>
    </row>
    <row r="46" spans="1:14" s="31" customFormat="1" ht="15.75">
      <c r="A46" s="21"/>
      <c r="B46" s="21"/>
      <c r="C46" s="27" t="s">
        <v>33</v>
      </c>
      <c r="D46" s="28"/>
      <c r="E46" s="28"/>
      <c r="F46" s="28"/>
      <c r="G46" s="28"/>
      <c r="H46" s="28"/>
      <c r="I46" s="28"/>
      <c r="J46" s="53">
        <f>SUM(J44:J45)</f>
        <v>0</v>
      </c>
      <c r="K46" s="162"/>
      <c r="L46" s="182"/>
      <c r="M46" s="55">
        <f>SUM(J46:L46)</f>
        <v>0</v>
      </c>
      <c r="N46" s="29"/>
    </row>
    <row r="47" spans="1:14" ht="10.5" customHeight="1">
      <c r="A47" s="1"/>
      <c r="B47" s="1"/>
      <c r="C47" s="28"/>
      <c r="D47" s="26"/>
      <c r="E47" s="26"/>
      <c r="F47" s="26"/>
      <c r="G47" s="26"/>
      <c r="H47" s="26"/>
      <c r="I47" s="26"/>
      <c r="J47" s="52"/>
      <c r="K47" s="159"/>
      <c r="L47" s="179"/>
      <c r="M47" s="42"/>
      <c r="N47" s="6"/>
    </row>
    <row r="48" spans="1:14" ht="15.75">
      <c r="A48" s="22" t="s">
        <v>34</v>
      </c>
      <c r="B48" s="22" t="s">
        <v>35</v>
      </c>
      <c r="C48" s="21"/>
      <c r="D48" s="21"/>
      <c r="E48" s="21"/>
      <c r="F48" s="21"/>
      <c r="G48" s="1"/>
      <c r="H48" s="1"/>
      <c r="I48" s="1"/>
      <c r="J48" s="54" t="s">
        <v>1</v>
      </c>
      <c r="K48" s="160"/>
      <c r="L48" s="180"/>
      <c r="M48" s="42"/>
      <c r="N48" s="5"/>
    </row>
    <row r="49" spans="1:14" ht="15.75">
      <c r="A49" s="21"/>
      <c r="B49" s="21"/>
      <c r="C49" s="13" t="s">
        <v>36</v>
      </c>
      <c r="D49" s="3"/>
      <c r="E49" s="31"/>
      <c r="F49" s="31"/>
      <c r="J49" s="42">
        <v>0</v>
      </c>
      <c r="K49" s="160"/>
      <c r="L49" s="180"/>
      <c r="M49" s="42">
        <f aca="true" t="shared" si="4" ref="M49:M60">SUM(J49:L49)</f>
        <v>0</v>
      </c>
      <c r="N49" s="5"/>
    </row>
    <row r="50" spans="1:14" ht="15.75">
      <c r="A50" s="21"/>
      <c r="B50" s="21"/>
      <c r="C50" s="13" t="s">
        <v>223</v>
      </c>
      <c r="D50" s="3"/>
      <c r="E50" s="31"/>
      <c r="F50" s="31"/>
      <c r="J50" s="42">
        <v>0</v>
      </c>
      <c r="K50" s="160"/>
      <c r="L50" s="180"/>
      <c r="M50" s="42">
        <f t="shared" si="4"/>
        <v>0</v>
      </c>
      <c r="N50" s="5"/>
    </row>
    <row r="51" spans="1:14" ht="15.75">
      <c r="A51" s="21"/>
      <c r="B51" s="21"/>
      <c r="C51" s="13" t="s">
        <v>38</v>
      </c>
      <c r="D51" s="3"/>
      <c r="E51" s="31"/>
      <c r="F51" s="31"/>
      <c r="J51" s="42">
        <v>0</v>
      </c>
      <c r="K51" s="160"/>
      <c r="L51" s="180"/>
      <c r="M51" s="42">
        <f t="shared" si="4"/>
        <v>0</v>
      </c>
      <c r="N51" s="5"/>
    </row>
    <row r="52" spans="1:14" ht="15.75">
      <c r="A52" s="21"/>
      <c r="B52" s="21"/>
      <c r="C52" s="13" t="s">
        <v>39</v>
      </c>
      <c r="D52" s="3"/>
      <c r="E52" s="31"/>
      <c r="F52" s="31"/>
      <c r="J52" s="42">
        <v>0</v>
      </c>
      <c r="K52" s="160"/>
      <c r="L52" s="180"/>
      <c r="M52" s="42">
        <f t="shared" si="4"/>
        <v>0</v>
      </c>
      <c r="N52" s="5"/>
    </row>
    <row r="53" spans="1:14" ht="15.75">
      <c r="A53" s="21"/>
      <c r="B53" s="21"/>
      <c r="C53" s="245" t="s">
        <v>105</v>
      </c>
      <c r="D53" s="3"/>
      <c r="E53" s="31"/>
      <c r="F53" s="31"/>
      <c r="J53" s="42">
        <v>0</v>
      </c>
      <c r="K53" s="160"/>
      <c r="L53" s="180"/>
      <c r="M53" s="42">
        <f t="shared" si="4"/>
        <v>0</v>
      </c>
      <c r="N53" s="5"/>
    </row>
    <row r="54" spans="1:14" ht="15.75">
      <c r="A54" s="21"/>
      <c r="B54" s="21"/>
      <c r="C54" s="13" t="s">
        <v>93</v>
      </c>
      <c r="D54" s="3"/>
      <c r="E54" s="31"/>
      <c r="F54" s="31"/>
      <c r="J54" s="42">
        <v>0</v>
      </c>
      <c r="K54" s="160"/>
      <c r="L54" s="180"/>
      <c r="M54" s="42">
        <f t="shared" si="4"/>
        <v>0</v>
      </c>
      <c r="N54" s="5"/>
    </row>
    <row r="55" spans="1:14" ht="15.75">
      <c r="A55" s="21"/>
      <c r="B55" s="21"/>
      <c r="C55" s="13" t="s">
        <v>40</v>
      </c>
      <c r="D55" s="21"/>
      <c r="E55" s="21"/>
      <c r="F55" s="21"/>
      <c r="G55" s="1"/>
      <c r="H55" s="1"/>
      <c r="I55" s="1"/>
      <c r="J55" s="42">
        <v>0</v>
      </c>
      <c r="K55" s="160"/>
      <c r="L55" s="180"/>
      <c r="M55" s="42">
        <f t="shared" si="4"/>
        <v>0</v>
      </c>
      <c r="N55" s="5"/>
    </row>
    <row r="56" spans="1:15" ht="15.75">
      <c r="A56" s="21"/>
      <c r="B56" s="21"/>
      <c r="C56" s="22" t="s">
        <v>41</v>
      </c>
      <c r="D56" s="10"/>
      <c r="E56" s="31"/>
      <c r="F56" s="31"/>
      <c r="J56" s="42">
        <v>0</v>
      </c>
      <c r="K56" s="160"/>
      <c r="L56" s="180"/>
      <c r="M56" s="42">
        <f t="shared" si="4"/>
        <v>0</v>
      </c>
      <c r="N56" s="5"/>
      <c r="O56" s="76"/>
    </row>
    <row r="57" spans="1:15" ht="15.75">
      <c r="A57" s="21"/>
      <c r="B57" s="21"/>
      <c r="C57" s="63" t="s">
        <v>42</v>
      </c>
      <c r="D57" s="10"/>
      <c r="E57" s="31"/>
      <c r="F57" s="31"/>
      <c r="J57" s="42">
        <v>0</v>
      </c>
      <c r="K57" s="160"/>
      <c r="L57" s="180"/>
      <c r="M57" s="42">
        <f t="shared" si="4"/>
        <v>0</v>
      </c>
      <c r="N57" s="5"/>
      <c r="O57" s="76"/>
    </row>
    <row r="58" spans="1:15" ht="15.75">
      <c r="A58" s="21"/>
      <c r="B58" s="21"/>
      <c r="C58" s="63" t="s">
        <v>97</v>
      </c>
      <c r="D58" s="10"/>
      <c r="E58" s="31"/>
      <c r="F58" s="31"/>
      <c r="J58" s="42">
        <v>0</v>
      </c>
      <c r="K58" s="160"/>
      <c r="L58" s="180"/>
      <c r="M58" s="42">
        <f t="shared" si="4"/>
        <v>0</v>
      </c>
      <c r="N58" s="5"/>
      <c r="O58" s="76"/>
    </row>
    <row r="59" spans="1:15" ht="15.75">
      <c r="A59" s="21"/>
      <c r="B59" s="21"/>
      <c r="C59" s="63" t="s">
        <v>98</v>
      </c>
      <c r="D59" s="10"/>
      <c r="E59" s="31"/>
      <c r="F59" s="31"/>
      <c r="J59" s="42">
        <v>0</v>
      </c>
      <c r="K59" s="160"/>
      <c r="L59" s="180"/>
      <c r="M59" s="42">
        <f t="shared" si="4"/>
        <v>0</v>
      </c>
      <c r="N59" s="5"/>
      <c r="O59" s="76"/>
    </row>
    <row r="60" spans="1:15" ht="15.75">
      <c r="A60" s="40" t="s">
        <v>43</v>
      </c>
      <c r="D60" s="28"/>
      <c r="E60" s="28"/>
      <c r="F60" s="28"/>
      <c r="G60" s="28"/>
      <c r="H60" s="28"/>
      <c r="I60" s="28"/>
      <c r="J60" s="51">
        <f>SUM(J49:J59)</f>
        <v>0</v>
      </c>
      <c r="K60" s="163"/>
      <c r="L60" s="183"/>
      <c r="M60" s="43">
        <f t="shared" si="4"/>
        <v>0</v>
      </c>
      <c r="N60" s="34"/>
      <c r="O60" s="76"/>
    </row>
    <row r="61" spans="1:14" ht="7.5" customHeight="1">
      <c r="A61" s="21"/>
      <c r="B61" s="21"/>
      <c r="C61" s="26"/>
      <c r="D61" s="28"/>
      <c r="E61" s="28"/>
      <c r="F61" s="28"/>
      <c r="G61" s="26"/>
      <c r="H61" s="26"/>
      <c r="I61" s="26"/>
      <c r="J61" s="52"/>
      <c r="K61" s="159"/>
      <c r="L61" s="179"/>
      <c r="M61" s="46" t="s">
        <v>1</v>
      </c>
      <c r="N61" s="6"/>
    </row>
    <row r="62" spans="1:14" ht="16.5">
      <c r="A62" s="28"/>
      <c r="B62" s="28"/>
      <c r="C62" s="28"/>
      <c r="D62" s="21"/>
      <c r="E62" s="32" t="s">
        <v>44</v>
      </c>
      <c r="F62" s="32"/>
      <c r="G62" s="39"/>
      <c r="H62" s="39"/>
      <c r="I62" s="39"/>
      <c r="J62" s="65">
        <f>ROUND(+J60+J46+J41+J36,0)</f>
        <v>0</v>
      </c>
      <c r="K62" s="164"/>
      <c r="L62" s="184"/>
      <c r="M62" s="65">
        <f>SUM(J62:L62)</f>
        <v>0</v>
      </c>
      <c r="N62" s="34"/>
    </row>
    <row r="63" spans="1:13" ht="7.5" customHeight="1">
      <c r="A63" s="28"/>
      <c r="B63" s="28"/>
      <c r="C63" s="28"/>
      <c r="D63" s="21"/>
      <c r="E63" s="32"/>
      <c r="F63" s="32"/>
      <c r="G63" s="39"/>
      <c r="H63" s="39"/>
      <c r="I63" s="39"/>
      <c r="J63" s="66"/>
      <c r="K63" s="164"/>
      <c r="L63" s="184"/>
      <c r="M63" s="65"/>
    </row>
    <row r="64" spans="1:15" ht="15.75">
      <c r="A64" s="28"/>
      <c r="B64" s="28"/>
      <c r="C64" s="28"/>
      <c r="D64" s="21"/>
      <c r="G64" s="39"/>
      <c r="H64" s="98" t="s">
        <v>124</v>
      </c>
      <c r="I64" s="39"/>
      <c r="J64" s="74">
        <f>(IF((J56)&gt;25000,(25000),J56)+((IF((J57)&gt;25000,(25000),J57))+((IF((J58)&gt;25000,(25000),J58))+((IF((J59)&gt;25000,(25000),J59))+SUM(J62-J41-J53-J56-J57-J58-J59-J54)))))</f>
        <v>0</v>
      </c>
      <c r="K64" s="165"/>
      <c r="L64" s="185"/>
      <c r="M64" s="74">
        <f>SUM(J64:L64)</f>
        <v>0</v>
      </c>
      <c r="O64" s="76"/>
    </row>
    <row r="65" spans="1:16" ht="15.75">
      <c r="A65" s="33" t="s">
        <v>123</v>
      </c>
      <c r="B65" s="1"/>
      <c r="C65" s="1"/>
      <c r="J65" s="42"/>
      <c r="K65" s="166"/>
      <c r="L65" s="186"/>
      <c r="M65" s="50"/>
      <c r="N65" s="5"/>
      <c r="P65" s="75"/>
    </row>
    <row r="66" spans="1:14" ht="15.75">
      <c r="A66" s="13" t="s">
        <v>126</v>
      </c>
      <c r="B66" s="1"/>
      <c r="D66" s="7">
        <f>IF(AND(($E$77)="R",($E$79)="C"),('RATES-Fed'!E43),IF(AND(($E$77)="R",($E$79)="O"),('RATES-Fed'!E48),IF(AND(($E$77)="I",($E$79)="C"),('RATES-Fed'!E44),IF(AND(($E$77)="I",($E$79)="O"),('RATES-Fed'!E49),IF(AND(($E$77)="P",($E$79)="C"),('RATES-Fed'!E45),IF(AND(($E$77)="P",($E$79)="O"),('RATES-Fed'!E50),($E$78)))))))</f>
        <v>0.595</v>
      </c>
      <c r="E66" s="7"/>
      <c r="F66" s="7"/>
      <c r="G66" s="7"/>
      <c r="H66" s="7"/>
      <c r="J66" s="50">
        <f>ROUND(+D66*(J62-J41-J56-J57-J58-J59-J53-J54),0)</f>
        <v>0</v>
      </c>
      <c r="K66" s="160"/>
      <c r="L66" s="180"/>
      <c r="M66" s="50">
        <f aca="true" t="shared" si="5" ref="M66:M71">SUM(J66:L66)</f>
        <v>0</v>
      </c>
      <c r="N66" s="5"/>
    </row>
    <row r="67" spans="1:14" ht="15.75">
      <c r="A67" s="13" t="s">
        <v>45</v>
      </c>
      <c r="D67" s="7">
        <f>+D66</f>
        <v>0.595</v>
      </c>
      <c r="E67" s="7"/>
      <c r="F67" s="7"/>
      <c r="G67" s="7"/>
      <c r="H67" s="7"/>
      <c r="J67" s="50">
        <f>(IF((J56)&gt;25000,(25000),J56)*D67)</f>
        <v>0</v>
      </c>
      <c r="K67" s="160"/>
      <c r="L67" s="180"/>
      <c r="M67" s="50">
        <f t="shared" si="5"/>
        <v>0</v>
      </c>
      <c r="N67" s="5"/>
    </row>
    <row r="68" spans="1:14" ht="15.75">
      <c r="A68" s="13" t="s">
        <v>46</v>
      </c>
      <c r="D68" s="7">
        <f>+D67</f>
        <v>0.595</v>
      </c>
      <c r="E68" s="7"/>
      <c r="F68" s="7"/>
      <c r="G68" s="7"/>
      <c r="H68" s="7"/>
      <c r="J68" s="50">
        <f>(IF((J57)&gt;25000,(25000),J57)*D68)</f>
        <v>0</v>
      </c>
      <c r="K68" s="160"/>
      <c r="L68" s="180"/>
      <c r="M68" s="50">
        <f t="shared" si="5"/>
        <v>0</v>
      </c>
      <c r="N68" s="5"/>
    </row>
    <row r="69" spans="1:14" ht="15.75">
      <c r="A69" s="13" t="s">
        <v>95</v>
      </c>
      <c r="D69" s="7">
        <f>+D68</f>
        <v>0.595</v>
      </c>
      <c r="E69" s="7"/>
      <c r="F69" s="7"/>
      <c r="G69" s="7"/>
      <c r="H69" s="7"/>
      <c r="J69" s="50">
        <f>(IF((J58)&gt;25000,(25000),J58)*D69)</f>
        <v>0</v>
      </c>
      <c r="K69" s="160"/>
      <c r="L69" s="180"/>
      <c r="M69" s="50">
        <f t="shared" si="5"/>
        <v>0</v>
      </c>
      <c r="N69" s="5"/>
    </row>
    <row r="70" spans="1:14" ht="15.75">
      <c r="A70" s="13" t="s">
        <v>96</v>
      </c>
      <c r="B70" s="1"/>
      <c r="C70" s="1"/>
      <c r="D70" s="7">
        <f>+D67</f>
        <v>0.595</v>
      </c>
      <c r="E70" s="7"/>
      <c r="F70" s="7"/>
      <c r="G70" s="7"/>
      <c r="H70" s="7"/>
      <c r="J70" s="50">
        <f>(IF((J59)&gt;25000,(25000),J59)*D70)</f>
        <v>0</v>
      </c>
      <c r="K70" s="160"/>
      <c r="L70" s="180"/>
      <c r="M70" s="50">
        <f t="shared" si="5"/>
        <v>0</v>
      </c>
      <c r="N70" s="5"/>
    </row>
    <row r="71" spans="1:14" ht="15.75">
      <c r="A71" s="40" t="s">
        <v>125</v>
      </c>
      <c r="B71" s="1"/>
      <c r="C71" s="24"/>
      <c r="D71" s="35"/>
      <c r="E71" s="7"/>
      <c r="F71" s="7"/>
      <c r="G71" s="7"/>
      <c r="H71" s="7"/>
      <c r="I71" s="7"/>
      <c r="J71" s="53">
        <f>SUM(J66:J70)</f>
        <v>0</v>
      </c>
      <c r="K71" s="163"/>
      <c r="L71" s="183"/>
      <c r="M71" s="53">
        <f t="shared" si="5"/>
        <v>0</v>
      </c>
      <c r="N71" s="5"/>
    </row>
    <row r="72" spans="1:14" ht="6.75" customHeight="1">
      <c r="A72" s="40"/>
      <c r="B72" s="1"/>
      <c r="C72" s="24"/>
      <c r="D72" s="35"/>
      <c r="E72" s="7"/>
      <c r="F72" s="7"/>
      <c r="G72" s="7"/>
      <c r="H72" s="7"/>
      <c r="I72" s="7"/>
      <c r="J72" s="61"/>
      <c r="K72" s="163"/>
      <c r="L72" s="183"/>
      <c r="M72" s="62"/>
      <c r="N72" s="5"/>
    </row>
    <row r="73" spans="1:14" ht="19.5" thickBot="1">
      <c r="A73" s="40"/>
      <c r="B73" s="1"/>
      <c r="C73" s="60" t="s">
        <v>47</v>
      </c>
      <c r="D73" s="35"/>
      <c r="E73" s="7"/>
      <c r="F73" s="7"/>
      <c r="G73" s="7"/>
      <c r="H73" s="7"/>
      <c r="I73" s="7"/>
      <c r="J73" s="72">
        <f>J71+J62</f>
        <v>0</v>
      </c>
      <c r="K73" s="164"/>
      <c r="L73" s="184"/>
      <c r="M73" s="72">
        <f>SUM(J73:L73)</f>
        <v>0</v>
      </c>
      <c r="N73" s="5"/>
    </row>
    <row r="74" spans="1:14" ht="8.25" customHeight="1" thickTop="1">
      <c r="A74" s="28"/>
      <c r="B74" s="1"/>
      <c r="C74" s="35"/>
      <c r="D74" s="7"/>
      <c r="E74" s="7"/>
      <c r="F74" s="7"/>
      <c r="G74" s="7"/>
      <c r="H74" s="7"/>
      <c r="I74" s="7"/>
      <c r="J74" s="50"/>
      <c r="K74" s="160"/>
      <c r="L74" s="180"/>
      <c r="M74" s="50" t="s">
        <v>1</v>
      </c>
      <c r="N74" s="5"/>
    </row>
    <row r="75" spans="1:14" ht="9" customHeight="1">
      <c r="A75" s="1"/>
      <c r="B75" s="1"/>
      <c r="C75" s="1"/>
      <c r="D75" s="1"/>
      <c r="E75" s="1"/>
      <c r="F75" s="1"/>
      <c r="G75" s="1"/>
      <c r="H75" s="1"/>
      <c r="I75" s="1"/>
      <c r="J75" s="49"/>
      <c r="K75" s="167"/>
      <c r="L75" s="187"/>
      <c r="M75" s="58"/>
      <c r="N75" s="1"/>
    </row>
    <row r="76" ht="15.75">
      <c r="C76" s="36" t="s">
        <v>127</v>
      </c>
    </row>
    <row r="77" spans="3:7" ht="15.75">
      <c r="C77" s="14" t="s">
        <v>48</v>
      </c>
      <c r="E77" s="15" t="s">
        <v>49</v>
      </c>
      <c r="G77" s="14" t="s">
        <v>50</v>
      </c>
    </row>
    <row r="78" spans="3:6" ht="15.75">
      <c r="C78" s="14" t="s">
        <v>206</v>
      </c>
      <c r="E78" s="9">
        <v>0.1</v>
      </c>
      <c r="F78" s="9"/>
    </row>
    <row r="79" spans="3:7" ht="15.75">
      <c r="C79" s="14" t="s">
        <v>51</v>
      </c>
      <c r="E79" s="175" t="s">
        <v>52</v>
      </c>
      <c r="G79" s="14" t="s">
        <v>53</v>
      </c>
    </row>
    <row r="81" spans="4:10" ht="15.75">
      <c r="D81" s="228" t="s">
        <v>235</v>
      </c>
      <c r="H81" s="226">
        <f>+'RATES-Fed'!E29</f>
        <v>0.595</v>
      </c>
      <c r="J81" s="225">
        <f>J71/12*'RATES-Fed'!$C$43</f>
        <v>0</v>
      </c>
    </row>
    <row r="82" spans="4:10" ht="15.75">
      <c r="D82" s="298" t="s">
        <v>236</v>
      </c>
      <c r="E82" s="298"/>
      <c r="F82" s="298"/>
      <c r="G82" s="298"/>
      <c r="H82" s="226">
        <f>+'RATES-Fed'!G29</f>
        <v>0.6</v>
      </c>
      <c r="J82" s="225">
        <f>J71/12*'RATES-Fed'!$D$43</f>
        <v>0</v>
      </c>
    </row>
    <row r="83" spans="4:16" ht="18.75">
      <c r="D83" s="298"/>
      <c r="E83" s="298"/>
      <c r="F83" s="298"/>
      <c r="G83" s="298"/>
      <c r="J83" s="225">
        <f>SUM(J81:J82)</f>
        <v>0</v>
      </c>
      <c r="M83" s="297">
        <f>'RATES-Fed'!Q64</f>
        <v>0</v>
      </c>
      <c r="N83" s="297"/>
      <c r="O83" s="297"/>
      <c r="P83" s="204"/>
    </row>
  </sheetData>
  <sheetProtection/>
  <mergeCells count="4">
    <mergeCell ref="J8:L8"/>
    <mergeCell ref="K4:O5"/>
    <mergeCell ref="M83:O83"/>
    <mergeCell ref="D82:G83"/>
  </mergeCells>
  <dataValidations count="1">
    <dataValidation type="list" allowBlank="1" showInputMessage="1" showErrorMessage="1" sqref="D11 D17:D18 D15 D13">
      <formula1>APPTS</formula1>
    </dataValidation>
  </dataValidations>
  <hyperlinks>
    <hyperlink ref="C53" r:id="rId1" display="UC Tuition rates (Not Subject to Indirect)"/>
  </hyperlinks>
  <printOptions horizontalCentered="1"/>
  <pageMargins left="0.25" right="0.25" top="0.75" bottom="0.75" header="0.3" footer="0.3"/>
  <pageSetup fitToHeight="1" fitToWidth="1" horizontalDpi="300" verticalDpi="300" orientation="portrait" scale="58" r:id="rId4"/>
  <legacyDrawing r:id="rId3"/>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S83"/>
  <sheetViews>
    <sheetView showGridLines="0" zoomScale="75" zoomScaleNormal="75" workbookViewId="0" topLeftCell="A1">
      <selection activeCell="A1" sqref="A1"/>
    </sheetView>
  </sheetViews>
  <sheetFormatPr defaultColWidth="9.625" defaultRowHeight="15.75"/>
  <cols>
    <col min="1" max="2" width="2.625" style="0" customWidth="1"/>
    <col min="3" max="3" width="20.50390625" style="0" customWidth="1"/>
    <col min="4" max="4" width="16.125" style="0" customWidth="1"/>
    <col min="5" max="6" width="7.625" style="0" customWidth="1"/>
    <col min="7" max="7" width="9.875" style="0" customWidth="1"/>
    <col min="8" max="8" width="7.25390625" style="0" customWidth="1"/>
    <col min="9" max="9" width="7.25390625" style="0" hidden="1" customWidth="1"/>
    <col min="10" max="10" width="13.75390625" style="0" customWidth="1"/>
    <col min="11" max="11" width="8.125" style="168" bestFit="1" customWidth="1"/>
    <col min="12" max="12" width="10.125" style="188" bestFit="1" customWidth="1"/>
    <col min="13" max="13" width="11.25390625" style="0" customWidth="1"/>
    <col min="14" max="14" width="9.25390625" style="168" bestFit="1" customWidth="1"/>
    <col min="15" max="15" width="9.50390625" style="96" bestFit="1" customWidth="1"/>
    <col min="16" max="16" width="14.625" style="0" customWidth="1"/>
    <col min="17" max="17" width="2.625" style="0" customWidth="1"/>
  </cols>
  <sheetData>
    <row r="1" spans="1:14" ht="18.75">
      <c r="A1" s="17" t="s">
        <v>0</v>
      </c>
      <c r="B1" s="18"/>
      <c r="C1" s="18"/>
      <c r="D1" s="18"/>
      <c r="E1" s="18"/>
      <c r="F1" s="18"/>
      <c r="G1" s="18"/>
      <c r="H1" s="18"/>
      <c r="I1" s="18"/>
      <c r="J1" s="19"/>
      <c r="K1" s="154"/>
      <c r="L1" s="176"/>
      <c r="M1" s="37"/>
      <c r="N1" s="169"/>
    </row>
    <row r="2" spans="1:16" ht="18.75">
      <c r="A2" s="17" t="s">
        <v>217</v>
      </c>
      <c r="B2" s="18"/>
      <c r="C2" s="18"/>
      <c r="D2" s="18"/>
      <c r="E2" s="18"/>
      <c r="F2" s="18"/>
      <c r="G2" s="18"/>
      <c r="H2" s="18"/>
      <c r="I2" s="18"/>
      <c r="J2" s="19"/>
      <c r="K2" s="154"/>
      <c r="L2" s="176"/>
      <c r="M2" s="37"/>
      <c r="N2" s="169"/>
      <c r="O2" s="199"/>
      <c r="P2" s="37"/>
    </row>
    <row r="3" spans="1:16" ht="9.75" customHeight="1">
      <c r="A3" s="10" t="s">
        <v>1</v>
      </c>
      <c r="B3" s="1"/>
      <c r="J3" s="11" t="s">
        <v>1</v>
      </c>
      <c r="K3" s="155"/>
      <c r="L3" s="177"/>
      <c r="M3" s="8"/>
      <c r="P3" s="8"/>
    </row>
    <row r="4" spans="1:16" ht="15.75">
      <c r="A4" s="22" t="s">
        <v>2</v>
      </c>
      <c r="B4" s="1"/>
      <c r="D4" s="10" t="s">
        <v>72</v>
      </c>
      <c r="G4" s="3"/>
      <c r="J4" s="20" t="s">
        <v>3</v>
      </c>
      <c r="K4" s="299" t="s">
        <v>72</v>
      </c>
      <c r="L4" s="300"/>
      <c r="M4" s="301"/>
      <c r="N4" s="301"/>
      <c r="O4" s="302"/>
      <c r="P4" s="8"/>
    </row>
    <row r="5" spans="1:16" ht="18.75">
      <c r="A5" s="22" t="s">
        <v>4</v>
      </c>
      <c r="B5" s="1"/>
      <c r="D5" s="10" t="s">
        <v>72</v>
      </c>
      <c r="E5" s="3"/>
      <c r="F5" s="3"/>
      <c r="H5" s="2"/>
      <c r="I5" s="2"/>
      <c r="J5" s="38"/>
      <c r="K5" s="303"/>
      <c r="L5" s="304"/>
      <c r="M5" s="304"/>
      <c r="N5" s="304"/>
      <c r="O5" s="305"/>
      <c r="P5" s="8"/>
    </row>
    <row r="6" spans="1:16" ht="15.75">
      <c r="A6" s="14"/>
      <c r="B6" s="22" t="s">
        <v>5</v>
      </c>
      <c r="D6" s="73">
        <f>'RATES-Fed'!E2</f>
        <v>42917</v>
      </c>
      <c r="E6" s="12" t="s">
        <v>6</v>
      </c>
      <c r="F6" s="12"/>
      <c r="G6" s="73">
        <f>'RATES-Fed'!G2</f>
        <v>44742</v>
      </c>
      <c r="H6" s="4"/>
      <c r="I6" s="4"/>
      <c r="J6" s="2"/>
      <c r="K6" s="156"/>
      <c r="L6" s="178"/>
      <c r="M6" s="3"/>
      <c r="N6" s="156"/>
      <c r="O6" s="151"/>
      <c r="P6" s="8"/>
    </row>
    <row r="7" spans="5:17" ht="7.5" customHeight="1">
      <c r="E7" s="3"/>
      <c r="F7" s="3"/>
      <c r="G7" s="1"/>
      <c r="H7" s="1"/>
      <c r="I7" s="1"/>
      <c r="J7" s="16" t="s">
        <v>1</v>
      </c>
      <c r="K7" s="155"/>
      <c r="L7" s="177"/>
      <c r="M7" s="8"/>
      <c r="N7" s="155"/>
      <c r="O7" s="145"/>
      <c r="P7" s="8"/>
      <c r="Q7" s="1"/>
    </row>
    <row r="8" spans="1:17" ht="15.75">
      <c r="A8" s="21"/>
      <c r="B8" s="21"/>
      <c r="C8" s="21"/>
      <c r="D8" s="21"/>
      <c r="E8" s="21"/>
      <c r="F8" s="21"/>
      <c r="G8" s="21"/>
      <c r="H8" s="21"/>
      <c r="I8" s="21"/>
      <c r="J8" s="288" t="s">
        <v>22</v>
      </c>
      <c r="K8" s="289"/>
      <c r="L8" s="290"/>
      <c r="M8" s="306" t="s">
        <v>55</v>
      </c>
      <c r="N8" s="307"/>
      <c r="O8" s="308"/>
      <c r="P8" s="174" t="s">
        <v>8</v>
      </c>
      <c r="Q8" s="21"/>
    </row>
    <row r="9" spans="1:19" s="149" customFormat="1" ht="15.75">
      <c r="A9" s="147" t="s">
        <v>9</v>
      </c>
      <c r="B9" s="147" t="s">
        <v>10</v>
      </c>
      <c r="C9" s="147"/>
      <c r="D9" s="147"/>
      <c r="E9" s="147"/>
      <c r="F9" s="147"/>
      <c r="G9" s="147"/>
      <c r="H9" s="147"/>
      <c r="I9" s="147"/>
      <c r="J9" s="192" t="s">
        <v>211</v>
      </c>
      <c r="K9" s="157" t="s">
        <v>212</v>
      </c>
      <c r="L9" s="147" t="s">
        <v>213</v>
      </c>
      <c r="M9" s="198" t="s">
        <v>211</v>
      </c>
      <c r="N9" s="157" t="s">
        <v>212</v>
      </c>
      <c r="O9" s="147" t="s">
        <v>213</v>
      </c>
      <c r="P9" s="148"/>
      <c r="Q9" s="147"/>
      <c r="S9"/>
    </row>
    <row r="10" spans="1:17" ht="15.75">
      <c r="A10" s="1"/>
      <c r="B10" s="23" t="s">
        <v>11</v>
      </c>
      <c r="C10" s="24"/>
      <c r="D10" s="24" t="s">
        <v>104</v>
      </c>
      <c r="E10" s="1" t="s">
        <v>12</v>
      </c>
      <c r="F10" s="41" t="s">
        <v>130</v>
      </c>
      <c r="G10" s="41" t="s">
        <v>13</v>
      </c>
      <c r="H10" s="1"/>
      <c r="I10" s="1"/>
      <c r="J10" s="193"/>
      <c r="K10" s="155"/>
      <c r="L10" s="145"/>
      <c r="M10" s="193"/>
      <c r="N10" s="155"/>
      <c r="O10" s="145"/>
      <c r="P10" s="2">
        <f>IF(SUM(J10:N10)=0,"",SUM(J10:N10))</f>
      </c>
      <c r="Q10" s="1"/>
    </row>
    <row r="11" spans="1:19" ht="15.75">
      <c r="A11" s="1"/>
      <c r="B11" s="1" t="s">
        <v>14</v>
      </c>
      <c r="C11" s="10" t="str">
        <f>D5</f>
        <v>name</v>
      </c>
      <c r="D11" s="142" t="s">
        <v>132</v>
      </c>
      <c r="E11" s="70">
        <v>0</v>
      </c>
      <c r="F11" s="101">
        <f aca="true" t="shared" si="0" ref="F11:F18">IF(D11="CAL",(52*E11/4.3333),(IF(D11="ACAD",(32*E11/4.33333),IF(D11="SUMR",(14*E11/4.33333),IF(D11="PT",(0),0)))))</f>
        <v>0</v>
      </c>
      <c r="G11" s="69">
        <v>0</v>
      </c>
      <c r="J11" s="190">
        <f>ROUND(G11*E11,0)</f>
        <v>0</v>
      </c>
      <c r="K11" s="158">
        <f>ROUND(J11*'RATES-Fed'!E36,0)</f>
        <v>0</v>
      </c>
      <c r="L11" s="67">
        <f>ROUND(K11+J11,0)</f>
        <v>0</v>
      </c>
      <c r="M11" s="190">
        <f>ROUND((J11*1.02),0)</f>
        <v>0</v>
      </c>
      <c r="N11" s="158">
        <f>ROUND(M11*'RATES-Fed'!G36,0)</f>
        <v>0</v>
      </c>
      <c r="O11" s="67">
        <f aca="true" t="shared" si="1" ref="O11:O18">ROUND(M11+N11,0)</f>
        <v>0</v>
      </c>
      <c r="P11" s="42">
        <f>SUM(L11+O11)</f>
        <v>0</v>
      </c>
      <c r="Q11" s="1"/>
      <c r="S11" s="217"/>
    </row>
    <row r="12" spans="1:17" ht="15.75">
      <c r="A12" s="1"/>
      <c r="B12" s="1" t="s">
        <v>14</v>
      </c>
      <c r="C12" s="3"/>
      <c r="D12" s="142" t="str">
        <f>IF(D11="ACAD",("SUMR"),"")</f>
        <v>SUMR</v>
      </c>
      <c r="E12" s="70">
        <v>0</v>
      </c>
      <c r="F12" s="101">
        <f t="shared" si="0"/>
        <v>0</v>
      </c>
      <c r="G12" s="69">
        <f>+G11*0.4375</f>
        <v>0</v>
      </c>
      <c r="J12" s="190">
        <f aca="true" t="shared" si="2" ref="J12:J18">ROUND(G12*E12,0)</f>
        <v>0</v>
      </c>
      <c r="K12" s="158">
        <f>ROUND(J12*'RATES-Fed'!E36,0)</f>
        <v>0</v>
      </c>
      <c r="L12" s="67">
        <f aca="true" t="shared" si="3" ref="L12:L18">ROUND(K12+J12,0)</f>
        <v>0</v>
      </c>
      <c r="M12" s="190">
        <f aca="true" t="shared" si="4" ref="M12:M17">ROUND((J12*1.02),0)</f>
        <v>0</v>
      </c>
      <c r="N12" s="158">
        <f>ROUND(M12*'RATES-Fed'!G36,0)</f>
        <v>0</v>
      </c>
      <c r="O12" s="67">
        <f t="shared" si="1"/>
        <v>0</v>
      </c>
      <c r="P12" s="42">
        <f aca="true" t="shared" si="5" ref="P12:P18">SUM(L12+O12)</f>
        <v>0</v>
      </c>
      <c r="Q12" s="1"/>
    </row>
    <row r="13" spans="1:17" ht="15.75">
      <c r="A13" s="1"/>
      <c r="B13" s="1" t="s">
        <v>15</v>
      </c>
      <c r="C13" s="3"/>
      <c r="D13" s="142" t="s">
        <v>132</v>
      </c>
      <c r="E13" s="70">
        <v>0</v>
      </c>
      <c r="F13" s="101">
        <f t="shared" si="0"/>
        <v>0</v>
      </c>
      <c r="G13" s="69">
        <v>0</v>
      </c>
      <c r="J13" s="190">
        <f t="shared" si="2"/>
        <v>0</v>
      </c>
      <c r="K13" s="158">
        <f>ROUND(J13*'RATES-Fed'!E36,0)</f>
        <v>0</v>
      </c>
      <c r="L13" s="67">
        <f t="shared" si="3"/>
        <v>0</v>
      </c>
      <c r="M13" s="190">
        <f t="shared" si="4"/>
        <v>0</v>
      </c>
      <c r="N13" s="158">
        <f>ROUND(M13*'RATES-Fed'!G36,0)</f>
        <v>0</v>
      </c>
      <c r="O13" s="67">
        <f t="shared" si="1"/>
        <v>0</v>
      </c>
      <c r="P13" s="42">
        <f t="shared" si="5"/>
        <v>0</v>
      </c>
      <c r="Q13" s="1"/>
    </row>
    <row r="14" spans="1:16" ht="15.75">
      <c r="A14" s="1"/>
      <c r="B14" s="1"/>
      <c r="C14" s="3"/>
      <c r="D14" s="142" t="str">
        <f>IF(D13="ACAD",("SUMR"),"")</f>
        <v>SUMR</v>
      </c>
      <c r="E14" s="70">
        <v>0</v>
      </c>
      <c r="F14" s="101">
        <f t="shared" si="0"/>
        <v>0</v>
      </c>
      <c r="G14" s="69">
        <f>+G13*0.4375</f>
        <v>0</v>
      </c>
      <c r="J14" s="190">
        <f t="shared" si="2"/>
        <v>0</v>
      </c>
      <c r="K14" s="158">
        <f>ROUND(J14*'RATES-Fed'!E36,0)</f>
        <v>0</v>
      </c>
      <c r="L14" s="67">
        <f t="shared" si="3"/>
        <v>0</v>
      </c>
      <c r="M14" s="190">
        <f t="shared" si="4"/>
        <v>0</v>
      </c>
      <c r="N14" s="158">
        <f>ROUND(M14*'RATES-Fed'!G36,0)</f>
        <v>0</v>
      </c>
      <c r="O14" s="67">
        <f t="shared" si="1"/>
        <v>0</v>
      </c>
      <c r="P14" s="42">
        <f t="shared" si="5"/>
        <v>0</v>
      </c>
    </row>
    <row r="15" spans="1:17" ht="15.75">
      <c r="A15" s="1"/>
      <c r="B15" s="1" t="s">
        <v>15</v>
      </c>
      <c r="C15" s="3"/>
      <c r="D15" s="142" t="s">
        <v>132</v>
      </c>
      <c r="E15" s="70">
        <v>0</v>
      </c>
      <c r="F15" s="101">
        <f t="shared" si="0"/>
        <v>0</v>
      </c>
      <c r="G15" s="69">
        <v>0</v>
      </c>
      <c r="J15" s="190">
        <f t="shared" si="2"/>
        <v>0</v>
      </c>
      <c r="K15" s="158">
        <f>ROUND(J15*'RATES-Fed'!E36,0)</f>
        <v>0</v>
      </c>
      <c r="L15" s="67">
        <f t="shared" si="3"/>
        <v>0</v>
      </c>
      <c r="M15" s="190">
        <f t="shared" si="4"/>
        <v>0</v>
      </c>
      <c r="N15" s="158">
        <f>ROUND(M15*'RATES-Fed'!G36,0)</f>
        <v>0</v>
      </c>
      <c r="O15" s="67">
        <f t="shared" si="1"/>
        <v>0</v>
      </c>
      <c r="P15" s="42">
        <f t="shared" si="5"/>
        <v>0</v>
      </c>
      <c r="Q15" s="1"/>
    </row>
    <row r="16" spans="1:16" ht="15.75">
      <c r="A16" s="1"/>
      <c r="B16" s="1"/>
      <c r="C16" s="3"/>
      <c r="D16" s="142" t="str">
        <f>IF(D15="ACAD",("SUMR"),"")</f>
        <v>SUMR</v>
      </c>
      <c r="E16" s="70">
        <v>0</v>
      </c>
      <c r="F16" s="101">
        <f t="shared" si="0"/>
        <v>0</v>
      </c>
      <c r="G16" s="69">
        <f>+G15*0.4375</f>
        <v>0</v>
      </c>
      <c r="J16" s="190">
        <f t="shared" si="2"/>
        <v>0</v>
      </c>
      <c r="K16" s="158">
        <f>ROUND(J16*'RATES-Fed'!E36,0)</f>
        <v>0</v>
      </c>
      <c r="L16" s="67">
        <f t="shared" si="3"/>
        <v>0</v>
      </c>
      <c r="M16" s="190">
        <f t="shared" si="4"/>
        <v>0</v>
      </c>
      <c r="N16" s="158">
        <f>ROUND(M16*'RATES-Fed'!G36,0)</f>
        <v>0</v>
      </c>
      <c r="O16" s="67">
        <f t="shared" si="1"/>
        <v>0</v>
      </c>
      <c r="P16" s="42">
        <f t="shared" si="5"/>
        <v>0</v>
      </c>
    </row>
    <row r="17" spans="1:17" ht="15.75">
      <c r="A17" s="1"/>
      <c r="B17" s="1" t="s">
        <v>15</v>
      </c>
      <c r="C17" s="3"/>
      <c r="D17" s="142" t="s">
        <v>131</v>
      </c>
      <c r="E17" s="70">
        <v>0</v>
      </c>
      <c r="F17" s="101">
        <f t="shared" si="0"/>
        <v>0</v>
      </c>
      <c r="G17" s="69">
        <v>0</v>
      </c>
      <c r="J17" s="190">
        <f t="shared" si="2"/>
        <v>0</v>
      </c>
      <c r="K17" s="158">
        <f>ROUND(J17*'RATES-Fed'!E36,0)</f>
        <v>0</v>
      </c>
      <c r="L17" s="67">
        <f t="shared" si="3"/>
        <v>0</v>
      </c>
      <c r="M17" s="190">
        <f t="shared" si="4"/>
        <v>0</v>
      </c>
      <c r="N17" s="158">
        <f>ROUND(M17*'RATES-Fed'!G36,0)</f>
        <v>0</v>
      </c>
      <c r="O17" s="67">
        <f t="shared" si="1"/>
        <v>0</v>
      </c>
      <c r="P17" s="42">
        <f t="shared" si="5"/>
        <v>0</v>
      </c>
      <c r="Q17" s="1"/>
    </row>
    <row r="18" spans="1:16" ht="15.75">
      <c r="A18" s="1"/>
      <c r="B18" s="1" t="s">
        <v>15</v>
      </c>
      <c r="C18" s="3"/>
      <c r="D18" s="142" t="s">
        <v>131</v>
      </c>
      <c r="E18" s="70">
        <v>0</v>
      </c>
      <c r="F18" s="101">
        <f t="shared" si="0"/>
        <v>0</v>
      </c>
      <c r="G18" s="69">
        <v>0</v>
      </c>
      <c r="J18" s="206">
        <f t="shared" si="2"/>
        <v>0</v>
      </c>
      <c r="K18" s="211">
        <f>ROUND(J18*'RATES-Fed'!E36,0)</f>
        <v>0</v>
      </c>
      <c r="L18" s="212">
        <f t="shared" si="3"/>
        <v>0</v>
      </c>
      <c r="M18" s="206">
        <f>ROUND((J18*1.02),0)</f>
        <v>0</v>
      </c>
      <c r="N18" s="211">
        <f>ROUND(M18*'RATES-Fed'!G36,0)</f>
        <v>0</v>
      </c>
      <c r="O18" s="212">
        <f t="shared" si="1"/>
        <v>0</v>
      </c>
      <c r="P18" s="209">
        <f t="shared" si="5"/>
        <v>0</v>
      </c>
    </row>
    <row r="19" spans="1:17" ht="15.75">
      <c r="A19" s="1"/>
      <c r="B19" s="1"/>
      <c r="C19" s="1"/>
      <c r="D19" s="25" t="s">
        <v>16</v>
      </c>
      <c r="E19" s="26"/>
      <c r="F19" s="26"/>
      <c r="G19" s="1"/>
      <c r="H19" s="1"/>
      <c r="I19" s="1"/>
      <c r="J19" s="210">
        <f aca="true" t="shared" si="6" ref="J19:P19">SUM(J11:J18)</f>
        <v>0</v>
      </c>
      <c r="K19" s="159">
        <f t="shared" si="6"/>
        <v>0</v>
      </c>
      <c r="L19" s="46">
        <f t="shared" si="6"/>
        <v>0</v>
      </c>
      <c r="M19" s="210">
        <f t="shared" si="6"/>
        <v>0</v>
      </c>
      <c r="N19" s="159">
        <f t="shared" si="6"/>
        <v>0</v>
      </c>
      <c r="O19" s="46">
        <f t="shared" si="6"/>
        <v>0</v>
      </c>
      <c r="P19" s="42">
        <f t="shared" si="6"/>
        <v>0</v>
      </c>
      <c r="Q19" s="6"/>
    </row>
    <row r="20" spans="1:17" ht="7.5" customHeight="1">
      <c r="A20" s="1"/>
      <c r="B20" s="1"/>
      <c r="C20" s="1"/>
      <c r="D20" s="26"/>
      <c r="E20" s="26"/>
      <c r="F20" s="26"/>
      <c r="G20" s="1"/>
      <c r="H20" s="1"/>
      <c r="I20" s="1"/>
      <c r="J20" s="195"/>
      <c r="K20" s="159"/>
      <c r="L20" s="46"/>
      <c r="M20" s="189"/>
      <c r="N20" s="159"/>
      <c r="O20" s="46"/>
      <c r="P20" s="42"/>
      <c r="Q20" s="6"/>
    </row>
    <row r="21" spans="1:17" ht="15.75">
      <c r="A21" s="22" t="s">
        <v>17</v>
      </c>
      <c r="B21" s="22" t="s">
        <v>18</v>
      </c>
      <c r="C21" s="1"/>
      <c r="D21" s="26"/>
      <c r="E21" s="1"/>
      <c r="F21" s="1"/>
      <c r="G21" s="41"/>
      <c r="H21" s="1"/>
      <c r="I21" s="1"/>
      <c r="J21" s="193"/>
      <c r="K21" s="155"/>
      <c r="L21" s="145"/>
      <c r="M21" s="193"/>
      <c r="N21" s="159"/>
      <c r="O21" s="46"/>
      <c r="P21" s="42"/>
      <c r="Q21" s="6"/>
    </row>
    <row r="22" spans="1:17" ht="15.75">
      <c r="A22" s="1"/>
      <c r="C22" s="13" t="s">
        <v>89</v>
      </c>
      <c r="D22" s="41" t="s">
        <v>128</v>
      </c>
      <c r="E22" s="68"/>
      <c r="F22" s="68"/>
      <c r="G22" s="59"/>
      <c r="J22" s="190"/>
      <c r="K22" s="160"/>
      <c r="L22" s="50"/>
      <c r="M22" s="190"/>
      <c r="N22" s="170"/>
      <c r="O22" s="150"/>
      <c r="P22" s="42"/>
      <c r="Q22" s="5"/>
    </row>
    <row r="23" spans="1:17" ht="15.75">
      <c r="A23" s="1"/>
      <c r="C23" s="13"/>
      <c r="D23" s="99"/>
      <c r="E23" s="70">
        <v>0</v>
      </c>
      <c r="F23" s="100">
        <f>SUM(52*E23/4.33)</f>
        <v>0</v>
      </c>
      <c r="G23" s="69">
        <v>0</v>
      </c>
      <c r="J23" s="190">
        <f>ROUND(G23*E23,0)</f>
        <v>0</v>
      </c>
      <c r="K23" s="160">
        <f>ROUND(J23*'RATES-Fed'!E37,0)</f>
        <v>0</v>
      </c>
      <c r="L23" s="50">
        <f>SUM(J23:K23)</f>
        <v>0</v>
      </c>
      <c r="M23" s="190">
        <f>ROUND(J23*1.02,0)</f>
        <v>0</v>
      </c>
      <c r="N23" s="160">
        <f>ROUND(M23*'RATES-Fed'!G37,0)</f>
        <v>0</v>
      </c>
      <c r="O23" s="50">
        <f>SUM(M23:N23)</f>
        <v>0</v>
      </c>
      <c r="P23" s="42">
        <f>SUM(L23+O23)</f>
        <v>0</v>
      </c>
      <c r="Q23" s="5"/>
    </row>
    <row r="24" spans="1:17" ht="15.75">
      <c r="A24" s="1"/>
      <c r="C24" s="13"/>
      <c r="D24" s="1"/>
      <c r="E24" s="70">
        <v>0</v>
      </c>
      <c r="F24" s="100">
        <f>SUM(52*E24/4.33)</f>
        <v>0</v>
      </c>
      <c r="G24" s="69">
        <v>0</v>
      </c>
      <c r="J24" s="190">
        <f>ROUND(G24*E24,0)</f>
        <v>0</v>
      </c>
      <c r="K24" s="160">
        <f>ROUND(J24*'RATES-Fed'!E37,0)</f>
        <v>0</v>
      </c>
      <c r="L24" s="50">
        <f>SUM(J24:K24)</f>
        <v>0</v>
      </c>
      <c r="M24" s="190">
        <f>ROUND(J24*1.02,0)</f>
        <v>0</v>
      </c>
      <c r="N24" s="160">
        <f>ROUND(M24*'RATES-Fed'!G37,0)</f>
        <v>0</v>
      </c>
      <c r="O24" s="50">
        <f>SUM(M24:N24)</f>
        <v>0</v>
      </c>
      <c r="P24" s="42">
        <f>SUM(L24+O24)</f>
        <v>0</v>
      </c>
      <c r="Q24" s="5"/>
    </row>
    <row r="25" spans="1:17" ht="15.75">
      <c r="A25" s="1"/>
      <c r="C25" s="13"/>
      <c r="D25" s="1"/>
      <c r="E25" s="70">
        <v>0</v>
      </c>
      <c r="F25" s="100">
        <f>SUM(52*E25/4.33)</f>
        <v>0</v>
      </c>
      <c r="G25" s="69">
        <v>0</v>
      </c>
      <c r="J25" s="206">
        <f>ROUND(G25*E25,0)</f>
        <v>0</v>
      </c>
      <c r="K25" s="207">
        <f>ROUND(J25*'RATES-Fed'!E37,0)</f>
        <v>0</v>
      </c>
      <c r="L25" s="208">
        <f>SUM(J25:K25)</f>
        <v>0</v>
      </c>
      <c r="M25" s="206">
        <f>ROUND(J25*1.02,0)</f>
        <v>0</v>
      </c>
      <c r="N25" s="207">
        <f>ROUND(M25*'RATES-Fed'!G37,0)</f>
        <v>0</v>
      </c>
      <c r="O25" s="208">
        <f>SUM(M25:N25)</f>
        <v>0</v>
      </c>
      <c r="P25" s="209">
        <f>SUM(L25+O25)</f>
        <v>0</v>
      </c>
      <c r="Q25" s="5"/>
    </row>
    <row r="26" spans="1:17" ht="15.75">
      <c r="A26" s="1"/>
      <c r="C26" s="13"/>
      <c r="D26" s="1" t="s">
        <v>129</v>
      </c>
      <c r="E26" s="70"/>
      <c r="F26" s="70"/>
      <c r="G26" s="69"/>
      <c r="J26" s="196">
        <f aca="true" t="shared" si="7" ref="J26:P26">SUM(J23:J25)</f>
        <v>0</v>
      </c>
      <c r="K26" s="160">
        <f t="shared" si="7"/>
        <v>0</v>
      </c>
      <c r="L26" s="50">
        <f t="shared" si="7"/>
        <v>0</v>
      </c>
      <c r="M26" s="196">
        <f t="shared" si="7"/>
        <v>0</v>
      </c>
      <c r="N26" s="170">
        <f t="shared" si="7"/>
        <v>0</v>
      </c>
      <c r="O26" s="150">
        <f t="shared" si="7"/>
        <v>0</v>
      </c>
      <c r="P26" s="42">
        <f t="shared" si="7"/>
        <v>0</v>
      </c>
      <c r="Q26" s="5"/>
    </row>
    <row r="27" spans="1:17" ht="9.75" customHeight="1">
      <c r="A27" s="1"/>
      <c r="C27" s="13"/>
      <c r="D27" s="1"/>
      <c r="E27" s="70"/>
      <c r="F27" s="70"/>
      <c r="G27" s="69"/>
      <c r="J27" s="196"/>
      <c r="K27" s="160"/>
      <c r="L27" s="50"/>
      <c r="M27" s="196"/>
      <c r="N27" s="170"/>
      <c r="O27" s="150"/>
      <c r="P27" s="42"/>
      <c r="Q27" s="5"/>
    </row>
    <row r="28" spans="1:17" ht="15.75">
      <c r="A28" s="1"/>
      <c r="C28" s="13" t="s">
        <v>90</v>
      </c>
      <c r="D28" s="1"/>
      <c r="E28" s="68"/>
      <c r="F28" s="68"/>
      <c r="G28" s="59"/>
      <c r="J28" s="190">
        <v>0</v>
      </c>
      <c r="K28" s="160">
        <f>ROUND(J28*'RATES-Fed'!E40,0)</f>
        <v>0</v>
      </c>
      <c r="L28" s="50">
        <f>SUM(J28:K28)</f>
        <v>0</v>
      </c>
      <c r="M28" s="190">
        <f>ROUND((J28*1.02),0)</f>
        <v>0</v>
      </c>
      <c r="N28" s="160">
        <f>ROUND(M28*'RATES-Fed'!G40,0)</f>
        <v>0</v>
      </c>
      <c r="O28" s="50">
        <f>SUM(M28:N28)</f>
        <v>0</v>
      </c>
      <c r="P28" s="42">
        <f>SUM(L28+O28)</f>
        <v>0</v>
      </c>
      <c r="Q28" s="5"/>
    </row>
    <row r="29" spans="1:17" ht="15.75">
      <c r="A29" s="1"/>
      <c r="C29" s="13" t="s">
        <v>19</v>
      </c>
      <c r="D29" s="1"/>
      <c r="E29" s="3"/>
      <c r="F29" s="3"/>
      <c r="J29" s="190">
        <v>0</v>
      </c>
      <c r="K29" s="160">
        <f>ROUND(J29*'RATES-Fed'!E39,0)</f>
        <v>0</v>
      </c>
      <c r="L29" s="50">
        <f>SUM(J29:K29)</f>
        <v>0</v>
      </c>
      <c r="M29" s="190">
        <f>ROUND((J29*1.02),0)</f>
        <v>0</v>
      </c>
      <c r="N29" s="160">
        <f>ROUND(M29*'RATES-Fed'!G39,0)</f>
        <v>0</v>
      </c>
      <c r="O29" s="50">
        <f>SUM(M29:N29)</f>
        <v>0</v>
      </c>
      <c r="P29" s="42">
        <f>SUM(L29+O29)</f>
        <v>0</v>
      </c>
      <c r="Q29" s="5"/>
    </row>
    <row r="30" spans="1:17" ht="15.75">
      <c r="A30" s="1"/>
      <c r="C30" s="13" t="s">
        <v>20</v>
      </c>
      <c r="D30" s="1"/>
      <c r="E30" s="3"/>
      <c r="F30" s="3"/>
      <c r="J30" s="190">
        <v>0</v>
      </c>
      <c r="K30" s="160">
        <f>ROUND(J30*'RATES-Fed'!E39,0)</f>
        <v>0</v>
      </c>
      <c r="L30" s="50">
        <f>SUM(J30:K30)</f>
        <v>0</v>
      </c>
      <c r="M30" s="190">
        <f>ROUND((J30*1.02),0)</f>
        <v>0</v>
      </c>
      <c r="N30" s="160">
        <f>ROUND(M30*'RATES-Fed'!G39,0)</f>
        <v>0</v>
      </c>
      <c r="O30" s="50">
        <f>SUM(M30:N30)</f>
        <v>0</v>
      </c>
      <c r="P30" s="42">
        <f>SUM(L30+O30)</f>
        <v>0</v>
      </c>
      <c r="Q30" s="5"/>
    </row>
    <row r="31" spans="1:19" s="96" customFormat="1" ht="15.75">
      <c r="A31" s="145"/>
      <c r="C31" s="144" t="s">
        <v>21</v>
      </c>
      <c r="D31" s="145"/>
      <c r="E31" s="151"/>
      <c r="F31" s="151"/>
      <c r="J31" s="190">
        <v>0</v>
      </c>
      <c r="K31" s="160">
        <f>ROUND(J31*'RATES-Fed'!E40,0)</f>
        <v>0</v>
      </c>
      <c r="L31" s="50">
        <f>SUM(J31:K31)</f>
        <v>0</v>
      </c>
      <c r="M31" s="190">
        <f>ROUND((J31*1.02),0)</f>
        <v>0</v>
      </c>
      <c r="N31" s="160">
        <f>ROUND(M31*'RATES-Fed'!G40,0)</f>
        <v>0</v>
      </c>
      <c r="O31" s="50">
        <f>SUM(M31:N31)</f>
        <v>0</v>
      </c>
      <c r="P31" s="42">
        <f>SUM(L31+O31)</f>
        <v>0</v>
      </c>
      <c r="Q31" s="152"/>
      <c r="S31"/>
    </row>
    <row r="32" spans="1:19" s="96" customFormat="1" ht="15.75">
      <c r="A32" s="145"/>
      <c r="C32" s="144" t="s">
        <v>91</v>
      </c>
      <c r="D32" s="145"/>
      <c r="E32" s="153"/>
      <c r="F32" s="153"/>
      <c r="G32" s="59"/>
      <c r="J32" s="206">
        <v>0</v>
      </c>
      <c r="K32" s="207">
        <f>ROUND(J32*'RATES-Fed'!E38,0)</f>
        <v>0</v>
      </c>
      <c r="L32" s="208">
        <f>SUM(J32:K32)</f>
        <v>0</v>
      </c>
      <c r="M32" s="190">
        <f>ROUND((J32*1.02),0)</f>
        <v>0</v>
      </c>
      <c r="N32" s="214">
        <f>ROUND(M32*'RATES-Fed'!G38,0)</f>
        <v>0</v>
      </c>
      <c r="O32" s="208">
        <f>SUM(M32:N32)</f>
        <v>0</v>
      </c>
      <c r="P32" s="209">
        <f>SUM(L32+O32)</f>
        <v>0</v>
      </c>
      <c r="Q32" s="152"/>
      <c r="S32"/>
    </row>
    <row r="33" spans="1:19" ht="15.75">
      <c r="A33" s="1"/>
      <c r="B33" s="1"/>
      <c r="C33" s="1"/>
      <c r="D33" s="191" t="s">
        <v>214</v>
      </c>
      <c r="E33" s="26"/>
      <c r="F33" s="26"/>
      <c r="G33" s="1"/>
      <c r="H33" s="1"/>
      <c r="I33" s="1"/>
      <c r="J33" s="213">
        <f aca="true" t="shared" si="8" ref="J33:O33">SUM(J19+J26+J28+J29+J30+J31+J32)</f>
        <v>0</v>
      </c>
      <c r="K33" s="160">
        <f t="shared" si="8"/>
        <v>0</v>
      </c>
      <c r="L33" s="50">
        <f t="shared" si="8"/>
        <v>0</v>
      </c>
      <c r="M33" s="213">
        <f t="shared" si="8"/>
        <v>0</v>
      </c>
      <c r="N33" s="160">
        <f t="shared" si="8"/>
        <v>0</v>
      </c>
      <c r="O33" s="50">
        <f t="shared" si="8"/>
        <v>0</v>
      </c>
      <c r="P33" s="42"/>
      <c r="Q33" s="5"/>
      <c r="S33" s="218"/>
    </row>
    <row r="34" spans="1:19" ht="7.5" customHeight="1">
      <c r="A34" s="1"/>
      <c r="B34" s="1"/>
      <c r="C34" s="1"/>
      <c r="D34" s="26"/>
      <c r="E34" s="26"/>
      <c r="F34" s="26"/>
      <c r="G34" s="26"/>
      <c r="H34" s="26"/>
      <c r="I34" s="26"/>
      <c r="J34" s="52"/>
      <c r="K34" s="159"/>
      <c r="L34" s="179"/>
      <c r="M34" s="64"/>
      <c r="P34" s="64" t="s">
        <v>1</v>
      </c>
      <c r="Q34" s="6"/>
      <c r="S34" s="218"/>
    </row>
    <row r="35" spans="1:19" s="31" customFormat="1" ht="15.75">
      <c r="A35" s="40" t="s">
        <v>24</v>
      </c>
      <c r="B35" s="21"/>
      <c r="D35" s="28"/>
      <c r="E35" s="28"/>
      <c r="F35" s="28"/>
      <c r="G35" s="28"/>
      <c r="H35" s="28"/>
      <c r="I35" s="28"/>
      <c r="J35" s="47">
        <f>SUM(J33+K33)</f>
        <v>0</v>
      </c>
      <c r="K35" s="161"/>
      <c r="L35" s="181"/>
      <c r="M35" s="47">
        <f>SUM(M33+N33)</f>
        <v>0</v>
      </c>
      <c r="N35" s="161"/>
      <c r="O35" s="146"/>
      <c r="P35" s="47">
        <f>SUM(J35+M35)</f>
        <v>0</v>
      </c>
      <c r="Q35" s="29"/>
      <c r="S35"/>
    </row>
    <row r="36" spans="1:17" ht="8.25" customHeight="1">
      <c r="A36" s="1"/>
      <c r="B36" s="1"/>
      <c r="C36" s="28"/>
      <c r="D36" s="26"/>
      <c r="E36" s="26"/>
      <c r="F36" s="26"/>
      <c r="G36" s="26"/>
      <c r="H36" s="26"/>
      <c r="I36" s="26"/>
      <c r="J36" s="52"/>
      <c r="K36" s="159"/>
      <c r="L36" s="179"/>
      <c r="M36" s="46"/>
      <c r="N36" s="159"/>
      <c r="O36" s="46"/>
      <c r="P36" s="46" t="s">
        <v>1</v>
      </c>
      <c r="Q36" s="6"/>
    </row>
    <row r="37" spans="1:19" ht="15.75">
      <c r="A37" s="22" t="s">
        <v>25</v>
      </c>
      <c r="B37" s="22" t="s">
        <v>26</v>
      </c>
      <c r="C37" s="21"/>
      <c r="D37" s="26"/>
      <c r="E37" s="26"/>
      <c r="F37" s="26"/>
      <c r="G37" s="26"/>
      <c r="H37" s="26"/>
      <c r="I37" s="26"/>
      <c r="J37" s="52"/>
      <c r="K37" s="159"/>
      <c r="L37" s="179"/>
      <c r="M37" s="50"/>
      <c r="N37" s="159"/>
      <c r="O37" s="46"/>
      <c r="P37" s="50" t="s">
        <v>1</v>
      </c>
      <c r="Q37" s="6"/>
      <c r="S37" s="31"/>
    </row>
    <row r="38" spans="1:17" ht="15.75">
      <c r="A38" s="21"/>
      <c r="B38" s="21"/>
      <c r="C38" s="10" t="s">
        <v>27</v>
      </c>
      <c r="D38" s="30"/>
      <c r="E38" s="30"/>
      <c r="F38" s="30"/>
      <c r="G38" s="30"/>
      <c r="H38" s="30"/>
      <c r="I38" s="30"/>
      <c r="J38" s="42">
        <v>0</v>
      </c>
      <c r="K38" s="159"/>
      <c r="L38" s="179"/>
      <c r="M38" s="42">
        <v>0</v>
      </c>
      <c r="N38" s="160"/>
      <c r="O38" s="50"/>
      <c r="P38" s="42">
        <f>SUM(J38:O38)</f>
        <v>0</v>
      </c>
      <c r="Q38" s="6"/>
    </row>
    <row r="39" spans="1:17" ht="15.75">
      <c r="A39" s="21"/>
      <c r="B39" s="21"/>
      <c r="C39" s="10" t="s">
        <v>27</v>
      </c>
      <c r="D39" s="30"/>
      <c r="E39" s="30"/>
      <c r="F39" s="30"/>
      <c r="G39" s="30"/>
      <c r="H39" s="30"/>
      <c r="I39" s="30"/>
      <c r="J39" s="42">
        <v>0</v>
      </c>
      <c r="K39" s="159"/>
      <c r="L39" s="179"/>
      <c r="M39" s="42">
        <v>0</v>
      </c>
      <c r="N39" s="160"/>
      <c r="O39" s="50"/>
      <c r="P39" s="42">
        <f>SUM(J39:O39)</f>
        <v>0</v>
      </c>
      <c r="Q39" s="6"/>
    </row>
    <row r="40" spans="1:17" ht="15.75">
      <c r="A40" s="21"/>
      <c r="B40" s="21"/>
      <c r="C40" s="27" t="s">
        <v>28</v>
      </c>
      <c r="D40" s="28"/>
      <c r="E40" s="28"/>
      <c r="F40" s="28"/>
      <c r="G40" s="28"/>
      <c r="H40" s="28"/>
      <c r="I40" s="28"/>
      <c r="J40" s="53">
        <f>SUM(J38:J39)</f>
        <v>0</v>
      </c>
      <c r="K40" s="162"/>
      <c r="L40" s="182"/>
      <c r="M40" s="53">
        <f>SUM(M38:M39)</f>
        <v>0</v>
      </c>
      <c r="N40" s="162"/>
      <c r="O40" s="48"/>
      <c r="P40" s="53">
        <f>SUM(J40:O40)</f>
        <v>0</v>
      </c>
      <c r="Q40" s="29"/>
    </row>
    <row r="41" spans="1:16" ht="9" customHeight="1">
      <c r="A41" s="1"/>
      <c r="B41" s="1"/>
      <c r="C41" s="28"/>
      <c r="D41" s="26"/>
      <c r="E41" s="26"/>
      <c r="F41" s="26"/>
      <c r="G41" s="26"/>
      <c r="H41" s="26"/>
      <c r="I41" s="26"/>
      <c r="J41" s="52"/>
      <c r="K41" s="159"/>
      <c r="L41" s="179"/>
      <c r="M41" s="46"/>
      <c r="N41" s="159"/>
      <c r="O41" s="46"/>
      <c r="P41" s="46"/>
    </row>
    <row r="42" spans="1:17" ht="15.75">
      <c r="A42" s="22" t="s">
        <v>29</v>
      </c>
      <c r="B42" s="22" t="s">
        <v>30</v>
      </c>
      <c r="C42" s="1"/>
      <c r="D42" s="21"/>
      <c r="E42" s="21"/>
      <c r="F42" s="21"/>
      <c r="G42" s="1"/>
      <c r="H42" s="1"/>
      <c r="I42" s="1"/>
      <c r="J42" s="54"/>
      <c r="K42" s="160"/>
      <c r="L42" s="180"/>
      <c r="M42" s="45" t="s">
        <v>1</v>
      </c>
      <c r="N42" s="160"/>
      <c r="O42" s="50"/>
      <c r="P42" s="45"/>
      <c r="Q42" s="5"/>
    </row>
    <row r="43" spans="1:17" ht="15.75">
      <c r="A43" s="21"/>
      <c r="B43" s="21"/>
      <c r="C43" s="13" t="s">
        <v>31</v>
      </c>
      <c r="D43" s="10" t="s">
        <v>27</v>
      </c>
      <c r="E43" s="31"/>
      <c r="F43" s="31"/>
      <c r="J43" s="42">
        <v>0</v>
      </c>
      <c r="K43" s="160"/>
      <c r="L43" s="180"/>
      <c r="M43" s="42">
        <f>ROUND((J43*1.02),0)</f>
        <v>0</v>
      </c>
      <c r="N43" s="170"/>
      <c r="O43" s="150"/>
      <c r="P43" s="42">
        <f>SUM(J43:O43)</f>
        <v>0</v>
      </c>
      <c r="Q43" s="5"/>
    </row>
    <row r="44" spans="1:17" ht="15.75">
      <c r="A44" s="21"/>
      <c r="B44" s="21"/>
      <c r="C44" s="13" t="s">
        <v>32</v>
      </c>
      <c r="D44" s="10" t="s">
        <v>27</v>
      </c>
      <c r="E44" s="31"/>
      <c r="F44" s="31"/>
      <c r="J44" s="42">
        <v>0</v>
      </c>
      <c r="K44" s="160"/>
      <c r="L44" s="180"/>
      <c r="M44" s="42">
        <f>ROUND((J44*1.02),0)</f>
        <v>0</v>
      </c>
      <c r="N44" s="170"/>
      <c r="O44" s="150"/>
      <c r="P44" s="42">
        <f>SUM(J44:O44)</f>
        <v>0</v>
      </c>
      <c r="Q44" s="5"/>
    </row>
    <row r="45" spans="1:19" s="31" customFormat="1" ht="15.75">
      <c r="A45" s="21"/>
      <c r="B45" s="21"/>
      <c r="C45" s="27" t="s">
        <v>33</v>
      </c>
      <c r="D45" s="28"/>
      <c r="E45" s="28"/>
      <c r="F45" s="28"/>
      <c r="G45" s="28"/>
      <c r="H45" s="28"/>
      <c r="I45" s="28"/>
      <c r="J45" s="53">
        <f>SUM(J43:J44)</f>
        <v>0</v>
      </c>
      <c r="K45" s="162"/>
      <c r="L45" s="182"/>
      <c r="M45" s="55">
        <f>SUM(M43:M44)</f>
        <v>0</v>
      </c>
      <c r="N45" s="162"/>
      <c r="O45" s="48"/>
      <c r="P45" s="55">
        <f>SUM(J45:O45)</f>
        <v>0</v>
      </c>
      <c r="Q45" s="29"/>
      <c r="S45"/>
    </row>
    <row r="46" spans="1:17" ht="10.5" customHeight="1">
      <c r="A46" s="1"/>
      <c r="B46" s="1"/>
      <c r="C46" s="28"/>
      <c r="D46" s="26"/>
      <c r="E46" s="26"/>
      <c r="F46" s="26"/>
      <c r="G46" s="26"/>
      <c r="H46" s="26"/>
      <c r="I46" s="26"/>
      <c r="J46" s="52"/>
      <c r="K46" s="159"/>
      <c r="L46" s="179"/>
      <c r="M46" s="42"/>
      <c r="N46" s="159"/>
      <c r="O46" s="46"/>
      <c r="P46" s="42"/>
      <c r="Q46" s="6"/>
    </row>
    <row r="47" spans="1:19" ht="15.75">
      <c r="A47" s="22" t="s">
        <v>34</v>
      </c>
      <c r="B47" s="22" t="s">
        <v>35</v>
      </c>
      <c r="C47" s="21"/>
      <c r="D47" s="21"/>
      <c r="E47" s="21"/>
      <c r="F47" s="21"/>
      <c r="G47" s="1"/>
      <c r="H47" s="1"/>
      <c r="I47" s="1"/>
      <c r="J47" s="54" t="s">
        <v>1</v>
      </c>
      <c r="K47" s="160"/>
      <c r="L47" s="180"/>
      <c r="M47" s="42" t="s">
        <v>1</v>
      </c>
      <c r="N47" s="160"/>
      <c r="O47" s="50"/>
      <c r="P47" s="42"/>
      <c r="Q47" s="5"/>
      <c r="S47" s="31"/>
    </row>
    <row r="48" spans="1:17" ht="15.75">
      <c r="A48" s="21"/>
      <c r="B48" s="21"/>
      <c r="C48" s="13" t="s">
        <v>36</v>
      </c>
      <c r="D48" s="3"/>
      <c r="E48" s="31"/>
      <c r="F48" s="31"/>
      <c r="J48" s="42">
        <v>0</v>
      </c>
      <c r="K48" s="160"/>
      <c r="L48" s="180"/>
      <c r="M48" s="42">
        <f aca="true" t="shared" si="9" ref="M48:M54">ROUND((J48*1.02),0)</f>
        <v>0</v>
      </c>
      <c r="N48" s="170"/>
      <c r="O48" s="150"/>
      <c r="P48" s="42">
        <f aca="true" t="shared" si="10" ref="P48:P59">SUM(J48:O48)</f>
        <v>0</v>
      </c>
      <c r="Q48" s="5"/>
    </row>
    <row r="49" spans="1:17" ht="15.75">
      <c r="A49" s="21"/>
      <c r="B49" s="21"/>
      <c r="C49" s="13" t="s">
        <v>37</v>
      </c>
      <c r="D49" s="3"/>
      <c r="E49" s="31"/>
      <c r="F49" s="31"/>
      <c r="J49" s="42">
        <v>0</v>
      </c>
      <c r="K49" s="160"/>
      <c r="L49" s="180"/>
      <c r="M49" s="42">
        <f t="shared" si="9"/>
        <v>0</v>
      </c>
      <c r="N49" s="170"/>
      <c r="O49" s="150"/>
      <c r="P49" s="42">
        <f t="shared" si="10"/>
        <v>0</v>
      </c>
      <c r="Q49" s="5"/>
    </row>
    <row r="50" spans="1:17" ht="15.75">
      <c r="A50" s="21"/>
      <c r="B50" s="21"/>
      <c r="C50" s="13" t="s">
        <v>38</v>
      </c>
      <c r="D50" s="3"/>
      <c r="E50" s="31"/>
      <c r="F50" s="31"/>
      <c r="J50" s="42">
        <v>0</v>
      </c>
      <c r="K50" s="160"/>
      <c r="L50" s="180"/>
      <c r="M50" s="42">
        <f t="shared" si="9"/>
        <v>0</v>
      </c>
      <c r="N50" s="170"/>
      <c r="O50" s="150"/>
      <c r="P50" s="42">
        <f t="shared" si="10"/>
        <v>0</v>
      </c>
      <c r="Q50" s="5"/>
    </row>
    <row r="51" spans="1:17" ht="15.75">
      <c r="A51" s="21"/>
      <c r="B51" s="21"/>
      <c r="C51" s="13" t="s">
        <v>39</v>
      </c>
      <c r="D51" s="3"/>
      <c r="E51" s="31"/>
      <c r="F51" s="31"/>
      <c r="J51" s="42">
        <v>0</v>
      </c>
      <c r="K51" s="160"/>
      <c r="L51" s="180"/>
      <c r="M51" s="42">
        <f t="shared" si="9"/>
        <v>0</v>
      </c>
      <c r="N51" s="170"/>
      <c r="O51" s="150"/>
      <c r="P51" s="42">
        <f t="shared" si="10"/>
        <v>0</v>
      </c>
      <c r="Q51" s="5"/>
    </row>
    <row r="52" spans="1:17" ht="15.75">
      <c r="A52" s="21"/>
      <c r="B52" s="21"/>
      <c r="C52" s="245" t="s">
        <v>105</v>
      </c>
      <c r="D52" s="3"/>
      <c r="E52" s="31"/>
      <c r="F52" s="31"/>
      <c r="J52" s="42">
        <v>0</v>
      </c>
      <c r="K52" s="160"/>
      <c r="L52" s="180"/>
      <c r="M52" s="42">
        <f t="shared" si="9"/>
        <v>0</v>
      </c>
      <c r="N52" s="170"/>
      <c r="O52" s="150"/>
      <c r="P52" s="42">
        <f t="shared" si="10"/>
        <v>0</v>
      </c>
      <c r="Q52" s="5"/>
    </row>
    <row r="53" spans="1:17" ht="15.75">
      <c r="A53" s="21"/>
      <c r="B53" s="21"/>
      <c r="C53" s="13" t="s">
        <v>93</v>
      </c>
      <c r="D53" s="3"/>
      <c r="E53" s="31"/>
      <c r="F53" s="31"/>
      <c r="J53" s="42">
        <v>0</v>
      </c>
      <c r="K53" s="160"/>
      <c r="L53" s="180"/>
      <c r="M53" s="42">
        <f t="shared" si="9"/>
        <v>0</v>
      </c>
      <c r="N53" s="171"/>
      <c r="O53" s="42"/>
      <c r="P53" s="42">
        <f t="shared" si="10"/>
        <v>0</v>
      </c>
      <c r="Q53" s="5"/>
    </row>
    <row r="54" spans="1:17" ht="15.75">
      <c r="A54" s="21"/>
      <c r="B54" s="21"/>
      <c r="C54" s="13" t="s">
        <v>40</v>
      </c>
      <c r="D54" s="21"/>
      <c r="E54" s="21"/>
      <c r="F54" s="21"/>
      <c r="G54" s="1"/>
      <c r="H54" s="1"/>
      <c r="I54" s="1"/>
      <c r="J54" s="42">
        <v>0</v>
      </c>
      <c r="K54" s="160"/>
      <c r="L54" s="180"/>
      <c r="M54" s="42">
        <f t="shared" si="9"/>
        <v>0</v>
      </c>
      <c r="N54" s="171"/>
      <c r="O54" s="42"/>
      <c r="P54" s="42">
        <f t="shared" si="10"/>
        <v>0</v>
      </c>
      <c r="Q54" s="5"/>
    </row>
    <row r="55" spans="1:18" ht="15.75">
      <c r="A55" s="21"/>
      <c r="B55" s="21"/>
      <c r="C55" s="22" t="s">
        <v>41</v>
      </c>
      <c r="D55" s="10"/>
      <c r="E55" s="31"/>
      <c r="F55" s="31"/>
      <c r="J55" s="42">
        <v>0</v>
      </c>
      <c r="K55" s="160"/>
      <c r="L55" s="180"/>
      <c r="M55" s="42">
        <v>0</v>
      </c>
      <c r="N55" s="170"/>
      <c r="O55" s="150"/>
      <c r="P55" s="42">
        <f t="shared" si="10"/>
        <v>0</v>
      </c>
      <c r="Q55" s="5"/>
      <c r="R55" s="76"/>
    </row>
    <row r="56" spans="1:18" ht="15.75">
      <c r="A56" s="21"/>
      <c r="B56" s="21"/>
      <c r="C56" s="63" t="s">
        <v>42</v>
      </c>
      <c r="D56" s="10"/>
      <c r="E56" s="31"/>
      <c r="F56" s="31"/>
      <c r="J56" s="42">
        <v>0</v>
      </c>
      <c r="K56" s="160"/>
      <c r="L56" s="180"/>
      <c r="M56" s="42">
        <v>0</v>
      </c>
      <c r="N56" s="170"/>
      <c r="O56" s="150"/>
      <c r="P56" s="42">
        <f t="shared" si="10"/>
        <v>0</v>
      </c>
      <c r="Q56" s="5"/>
      <c r="R56" s="76"/>
    </row>
    <row r="57" spans="1:18" ht="15.75">
      <c r="A57" s="21"/>
      <c r="B57" s="21"/>
      <c r="C57" s="63" t="s">
        <v>97</v>
      </c>
      <c r="D57" s="10"/>
      <c r="E57" s="31"/>
      <c r="F57" s="31"/>
      <c r="J57" s="42">
        <v>0</v>
      </c>
      <c r="K57" s="160"/>
      <c r="L57" s="180"/>
      <c r="M57" s="42">
        <v>0</v>
      </c>
      <c r="N57" s="170"/>
      <c r="O57" s="150"/>
      <c r="P57" s="42">
        <f t="shared" si="10"/>
        <v>0</v>
      </c>
      <c r="Q57" s="5"/>
      <c r="R57" s="76"/>
    </row>
    <row r="58" spans="1:18" ht="15.75">
      <c r="A58" s="21"/>
      <c r="B58" s="21"/>
      <c r="C58" s="63" t="s">
        <v>98</v>
      </c>
      <c r="D58" s="10"/>
      <c r="E58" s="31"/>
      <c r="F58" s="31"/>
      <c r="J58" s="42">
        <v>0</v>
      </c>
      <c r="K58" s="160"/>
      <c r="L58" s="180"/>
      <c r="M58" s="42">
        <v>0</v>
      </c>
      <c r="N58" s="170"/>
      <c r="O58" s="150"/>
      <c r="P58" s="42">
        <f t="shared" si="10"/>
        <v>0</v>
      </c>
      <c r="Q58" s="5"/>
      <c r="R58" s="76"/>
    </row>
    <row r="59" spans="1:18" ht="15.75">
      <c r="A59" s="40" t="s">
        <v>43</v>
      </c>
      <c r="D59" s="28"/>
      <c r="E59" s="28"/>
      <c r="F59" s="28"/>
      <c r="G59" s="28"/>
      <c r="H59" s="28"/>
      <c r="I59" s="28"/>
      <c r="J59" s="51">
        <f>SUM(J48:J58)</f>
        <v>0</v>
      </c>
      <c r="K59" s="163"/>
      <c r="L59" s="183"/>
      <c r="M59" s="43">
        <f>SUM(M48:M58)</f>
        <v>0</v>
      </c>
      <c r="N59" s="163"/>
      <c r="O59" s="44"/>
      <c r="P59" s="43">
        <f t="shared" si="10"/>
        <v>0</v>
      </c>
      <c r="Q59" s="34"/>
      <c r="R59" s="76"/>
    </row>
    <row r="60" spans="1:17" ht="7.5" customHeight="1">
      <c r="A60" s="21"/>
      <c r="B60" s="21"/>
      <c r="C60" s="26"/>
      <c r="D60" s="28"/>
      <c r="E60" s="28"/>
      <c r="F60" s="28"/>
      <c r="G60" s="26"/>
      <c r="H60" s="26"/>
      <c r="I60" s="26"/>
      <c r="J60" s="52"/>
      <c r="K60" s="159"/>
      <c r="L60" s="179"/>
      <c r="M60" s="46"/>
      <c r="N60" s="159"/>
      <c r="O60" s="46"/>
      <c r="P60" s="46" t="s">
        <v>1</v>
      </c>
      <c r="Q60" s="6"/>
    </row>
    <row r="61" spans="1:17" ht="16.5">
      <c r="A61" s="28"/>
      <c r="B61" s="28"/>
      <c r="C61" s="28"/>
      <c r="D61" s="21"/>
      <c r="E61" s="32" t="s">
        <v>44</v>
      </c>
      <c r="F61" s="32"/>
      <c r="G61" s="39"/>
      <c r="H61" s="39"/>
      <c r="I61" s="39"/>
      <c r="J61" s="65">
        <f>ROUND(+J59+J45+J40+J35,0)</f>
        <v>0</v>
      </c>
      <c r="K61" s="164"/>
      <c r="L61" s="184"/>
      <c r="M61" s="65">
        <f>ROUND(+M59+M45+M40+M35,0)</f>
        <v>0</v>
      </c>
      <c r="N61" s="164"/>
      <c r="O61" s="65"/>
      <c r="P61" s="65">
        <f>SUM(J61:O61)</f>
        <v>0</v>
      </c>
      <c r="Q61" s="34"/>
    </row>
    <row r="62" spans="1:16" ht="7.5" customHeight="1">
      <c r="A62" s="28"/>
      <c r="B62" s="28"/>
      <c r="C62" s="28"/>
      <c r="D62" s="21"/>
      <c r="E62" s="32"/>
      <c r="F62" s="32"/>
      <c r="G62" s="39"/>
      <c r="H62" s="39"/>
      <c r="I62" s="39"/>
      <c r="J62" s="66"/>
      <c r="K62" s="164"/>
      <c r="L62" s="184"/>
      <c r="M62" s="65"/>
      <c r="N62" s="172"/>
      <c r="O62" s="200"/>
      <c r="P62" s="65"/>
    </row>
    <row r="63" spans="1:18" ht="15.75">
      <c r="A63" s="28"/>
      <c r="B63" s="28"/>
      <c r="C63" s="28"/>
      <c r="D63" s="21"/>
      <c r="G63" s="39"/>
      <c r="H63" s="98" t="s">
        <v>124</v>
      </c>
      <c r="I63" s="39"/>
      <c r="J63" s="74">
        <f>(IF((J55)&gt;25000,(25000),J55)+((IF((J56)&gt;25000,(25000),J56))+((IF((J57)&gt;25000,(25000),J57))+((IF((J58)&gt;25000,(25000),J58))+SUM(J61-J40-J52-J55-J56-J57-J58-J53)))))</f>
        <v>0</v>
      </c>
      <c r="K63" s="165"/>
      <c r="L63" s="185"/>
      <c r="M63" s="74">
        <f>IF(J55&gt;=(25000),0,((IF((J55+M55)&lt;=(25000),M55,(25000-J55)))))+IF(J56&gt;=(25000),0,((IF((J56+M56)&lt;=(25000),M56,(25000-J56)))))+IF(J57&gt;=(25000),0,((IF((J57+M57)&lt;=(25000),M57,(25000-J57)))))+IF(J58&gt;=(25000),0,((IF((J58+M58)&lt;=(25000),M58,(25000-J58)))))+SUM(M61-M40-M52-M55-M56-M57-M58-M53)</f>
        <v>0</v>
      </c>
      <c r="N63" s="165"/>
      <c r="O63" s="201"/>
      <c r="P63" s="74">
        <f>SUM(J63:O63)</f>
        <v>0</v>
      </c>
      <c r="R63" s="76"/>
    </row>
    <row r="64" spans="1:17" ht="15.75">
      <c r="A64" s="33" t="s">
        <v>123</v>
      </c>
      <c r="B64" s="1"/>
      <c r="C64" s="1"/>
      <c r="J64" s="42"/>
      <c r="K64" s="166"/>
      <c r="L64" s="186"/>
      <c r="M64" s="50"/>
      <c r="N64" s="166"/>
      <c r="O64" s="56"/>
      <c r="P64" s="50"/>
      <c r="Q64" s="5"/>
    </row>
    <row r="65" spans="1:17" ht="15.75">
      <c r="A65" s="13" t="s">
        <v>126</v>
      </c>
      <c r="B65" s="1"/>
      <c r="D65" s="7">
        <f>IF(AND(($E$76)="R",($E$78)="C"),('RATES-Fed'!E43),IF(AND(($E$76)="R",($E$78)="O"),('RATES-Fed'!E48),IF(AND(($E$76)="I",($E$78)="C"),('RATES-Fed'!E44),IF(AND(($E$76)="I",($E$78)="O"),('RATES-Fed'!E49),IF(AND(($E$76)="P",($E$78)="C"),('RATES-Fed'!E45),IF(AND(($E$76)="P",($E$78)="O"),('RATES-Fed'!E50),($E$77)))))))</f>
        <v>0.595</v>
      </c>
      <c r="E65" s="7">
        <f>IF(AND(($E$76)="R",($E$78)="C"),('RATES-Fed'!G43),IF(AND(($E$76)="R",($E$78)="O"),('RATES-Fed'!G48),IF(AND(($E$76)="I",($E$78)="C"),('RATES-Fed'!G44),IF(AND(($E$76)="I",($E$78)="O"),('RATES-Fed'!G49),IF(AND(($E$76)="P",($E$78)="C"),('RATES-Fed'!G45),IF(AND(($E$76)="P",($E$78)="O"),('RATES-Fed'!G50),($E$77)))))))</f>
        <v>0.6</v>
      </c>
      <c r="F65" s="7"/>
      <c r="G65" s="7"/>
      <c r="H65" s="7"/>
      <c r="J65" s="50">
        <f>ROUND(+D65*(J61-J40-J55-J56-J57-J58-J52-J53),0)</f>
        <v>0</v>
      </c>
      <c r="K65" s="160"/>
      <c r="L65" s="180"/>
      <c r="M65" s="50">
        <f>ROUND(+E65*(M61-M40-M55-M56-M57-M58-M52-M53),0)</f>
        <v>0</v>
      </c>
      <c r="N65" s="160"/>
      <c r="O65" s="50"/>
      <c r="P65" s="50">
        <f aca="true" t="shared" si="11" ref="P65:P70">SUM(J65:O65)</f>
        <v>0</v>
      </c>
      <c r="Q65" s="5"/>
    </row>
    <row r="66" spans="1:17" ht="15.75">
      <c r="A66" s="13" t="s">
        <v>45</v>
      </c>
      <c r="D66" s="7">
        <f aca="true" t="shared" si="12" ref="D66:E68">+D65</f>
        <v>0.595</v>
      </c>
      <c r="E66" s="7">
        <f t="shared" si="12"/>
        <v>0.6</v>
      </c>
      <c r="F66" s="7"/>
      <c r="G66" s="7"/>
      <c r="H66" s="7"/>
      <c r="J66" s="50">
        <f>(IF((J55)&gt;25000,(25000),J55)*D66)</f>
        <v>0</v>
      </c>
      <c r="K66" s="50"/>
      <c r="L66" s="50"/>
      <c r="M66" s="50">
        <f>IF(J55&gt;=(25000),0,((IF((J55+M55)&lt;=(25000),M55,(25000-J55))))*E66)</f>
        <v>0</v>
      </c>
      <c r="N66" s="160"/>
      <c r="O66" s="50"/>
      <c r="P66" s="50">
        <f t="shared" si="11"/>
        <v>0</v>
      </c>
      <c r="Q66" s="5"/>
    </row>
    <row r="67" spans="1:17" ht="15.75">
      <c r="A67" s="13" t="s">
        <v>46</v>
      </c>
      <c r="D67" s="7">
        <f t="shared" si="12"/>
        <v>0.595</v>
      </c>
      <c r="E67" s="7">
        <f t="shared" si="12"/>
        <v>0.6</v>
      </c>
      <c r="F67" s="7"/>
      <c r="G67" s="7"/>
      <c r="H67" s="7"/>
      <c r="J67" s="50">
        <f>(IF((J56)&gt;25000,(25000),J56)*D67)</f>
        <v>0</v>
      </c>
      <c r="K67" s="284"/>
      <c r="L67" s="180"/>
      <c r="M67" s="50">
        <f>IF(J56&gt;=(25000),0,((IF((J56+M56)&lt;=(25000),M56,(25000-J56))))*E67)</f>
        <v>0</v>
      </c>
      <c r="N67" s="160"/>
      <c r="O67" s="50"/>
      <c r="P67" s="50">
        <f t="shared" si="11"/>
        <v>0</v>
      </c>
      <c r="Q67" s="5"/>
    </row>
    <row r="68" spans="1:17" ht="15.75">
      <c r="A68" s="13" t="s">
        <v>95</v>
      </c>
      <c r="D68" s="7">
        <f t="shared" si="12"/>
        <v>0.595</v>
      </c>
      <c r="E68" s="7">
        <f t="shared" si="12"/>
        <v>0.6</v>
      </c>
      <c r="F68" s="7"/>
      <c r="G68" s="7"/>
      <c r="H68" s="7"/>
      <c r="J68" s="50">
        <f>(IF((J57)&gt;25000,(25000),J57)*D68)</f>
        <v>0</v>
      </c>
      <c r="K68" s="284"/>
      <c r="L68" s="180"/>
      <c r="M68" s="50">
        <f>IF(J57&gt;=(25000),0,((IF((J57+M57)&lt;=(25000),M57,(25000-J57))))*E68)</f>
        <v>0</v>
      </c>
      <c r="N68" s="160"/>
      <c r="O68" s="50"/>
      <c r="P68" s="50">
        <f t="shared" si="11"/>
        <v>0</v>
      </c>
      <c r="Q68" s="5"/>
    </row>
    <row r="69" spans="1:17" ht="15.75">
      <c r="A69" s="13" t="s">
        <v>96</v>
      </c>
      <c r="B69" s="1"/>
      <c r="C69" s="1"/>
      <c r="D69" s="7">
        <f>+D66</f>
        <v>0.595</v>
      </c>
      <c r="E69" s="7">
        <f>+E66</f>
        <v>0.6</v>
      </c>
      <c r="F69" s="7"/>
      <c r="G69" s="7"/>
      <c r="H69" s="7"/>
      <c r="J69" s="50">
        <f>(IF((J58)&gt;25000,(25000),J58)*D69)</f>
        <v>0</v>
      </c>
      <c r="K69" s="284"/>
      <c r="L69" s="180"/>
      <c r="M69" s="50">
        <f>IF(J58&gt;=(25000),0,((IF((J58+M58)&lt;=(25000),M58,(25000-J58))))*E69)</f>
        <v>0</v>
      </c>
      <c r="N69" s="160"/>
      <c r="O69" s="50"/>
      <c r="P69" s="50">
        <f t="shared" si="11"/>
        <v>0</v>
      </c>
      <c r="Q69" s="5"/>
    </row>
    <row r="70" spans="1:17" ht="15.75">
      <c r="A70" s="40" t="s">
        <v>125</v>
      </c>
      <c r="B70" s="1"/>
      <c r="C70" s="24"/>
      <c r="D70" s="35"/>
      <c r="E70" s="7"/>
      <c r="F70" s="7"/>
      <c r="G70" s="7"/>
      <c r="H70" s="7"/>
      <c r="I70" s="7"/>
      <c r="J70" s="53">
        <f>SUM(J65:J69)</f>
        <v>0</v>
      </c>
      <c r="K70" s="163"/>
      <c r="L70" s="183"/>
      <c r="M70" s="53">
        <f>SUM(M65:M69)</f>
        <v>0</v>
      </c>
      <c r="N70" s="163"/>
      <c r="O70" s="44"/>
      <c r="P70" s="53">
        <f t="shared" si="11"/>
        <v>0</v>
      </c>
      <c r="Q70" s="5"/>
    </row>
    <row r="71" spans="1:17" ht="6.75" customHeight="1">
      <c r="A71" s="40"/>
      <c r="B71" s="1"/>
      <c r="C71" s="24"/>
      <c r="D71" s="35"/>
      <c r="E71" s="7"/>
      <c r="F71" s="7"/>
      <c r="G71" s="7"/>
      <c r="H71" s="7"/>
      <c r="I71" s="7"/>
      <c r="J71" s="61"/>
      <c r="K71" s="163"/>
      <c r="L71" s="183"/>
      <c r="M71" s="62"/>
      <c r="N71" s="163"/>
      <c r="O71" s="44"/>
      <c r="P71" s="62"/>
      <c r="Q71" s="5"/>
    </row>
    <row r="72" spans="1:17" ht="19.5" thickBot="1">
      <c r="A72" s="40"/>
      <c r="B72" s="1"/>
      <c r="C72" s="60" t="s">
        <v>47</v>
      </c>
      <c r="D72" s="35"/>
      <c r="E72" s="7"/>
      <c r="F72" s="7"/>
      <c r="G72" s="7"/>
      <c r="H72" s="7"/>
      <c r="I72" s="7"/>
      <c r="J72" s="72">
        <f>J70+J61</f>
        <v>0</v>
      </c>
      <c r="K72" s="164"/>
      <c r="L72" s="184"/>
      <c r="M72" s="72">
        <f>M70+M61</f>
        <v>0</v>
      </c>
      <c r="N72" s="164"/>
      <c r="O72" s="65"/>
      <c r="P72" s="72">
        <f>SUM(J72:O72)</f>
        <v>0</v>
      </c>
      <c r="Q72" s="5"/>
    </row>
    <row r="73" spans="1:17" ht="8.25" customHeight="1" thickTop="1">
      <c r="A73" s="28"/>
      <c r="B73" s="1"/>
      <c r="C73" s="35"/>
      <c r="D73" s="7"/>
      <c r="E73" s="7"/>
      <c r="F73" s="7"/>
      <c r="G73" s="7"/>
      <c r="H73" s="7"/>
      <c r="I73" s="7"/>
      <c r="J73" s="50"/>
      <c r="K73" s="160"/>
      <c r="L73" s="180"/>
      <c r="M73" s="50"/>
      <c r="N73" s="160"/>
      <c r="O73" s="50"/>
      <c r="P73" s="50" t="s">
        <v>1</v>
      </c>
      <c r="Q73" s="5"/>
    </row>
    <row r="74" spans="1:17" ht="9" customHeight="1">
      <c r="A74" s="1"/>
      <c r="B74" s="1"/>
      <c r="C74" s="1"/>
      <c r="D74" s="1"/>
      <c r="E74" s="1"/>
      <c r="F74" s="1"/>
      <c r="G74" s="1"/>
      <c r="H74" s="1"/>
      <c r="I74" s="1"/>
      <c r="J74" s="49"/>
      <c r="K74" s="167"/>
      <c r="L74" s="187"/>
      <c r="M74" s="58"/>
      <c r="N74" s="167"/>
      <c r="O74" s="57"/>
      <c r="P74" s="58"/>
      <c r="Q74" s="1"/>
    </row>
    <row r="75" ht="15.75">
      <c r="C75" s="36" t="s">
        <v>127</v>
      </c>
    </row>
    <row r="76" spans="3:7" ht="15.75">
      <c r="C76" s="14" t="s">
        <v>48</v>
      </c>
      <c r="E76" s="15" t="s">
        <v>49</v>
      </c>
      <c r="G76" s="14" t="s">
        <v>50</v>
      </c>
    </row>
    <row r="77" spans="3:6" ht="15.75">
      <c r="C77" s="14" t="s">
        <v>206</v>
      </c>
      <c r="E77" s="9">
        <v>0</v>
      </c>
      <c r="F77" s="9"/>
    </row>
    <row r="78" spans="3:7" ht="15.75">
      <c r="C78" s="14" t="s">
        <v>51</v>
      </c>
      <c r="E78" s="175" t="s">
        <v>52</v>
      </c>
      <c r="G78" s="14" t="s">
        <v>53</v>
      </c>
    </row>
    <row r="81" spans="4:13" ht="15.75">
      <c r="D81" s="228" t="s">
        <v>235</v>
      </c>
      <c r="H81" s="226">
        <f>+'RATES-Fed'!E29</f>
        <v>0.595</v>
      </c>
      <c r="J81" s="225">
        <f>J70/12*'RATES-Fed'!$C$43</f>
        <v>0</v>
      </c>
      <c r="L81" s="226">
        <f>+'RATES-Fed'!G29</f>
        <v>0.6</v>
      </c>
      <c r="M81" s="225">
        <f>M70/12*'RATES-Fed'!$C$43</f>
        <v>0</v>
      </c>
    </row>
    <row r="82" spans="4:16" ht="18.75">
      <c r="D82" s="298" t="s">
        <v>236</v>
      </c>
      <c r="E82" s="298"/>
      <c r="F82" s="298"/>
      <c r="G82" s="298"/>
      <c r="H82" s="226">
        <f>+'RATES-Fed'!G29</f>
        <v>0.6</v>
      </c>
      <c r="J82" s="225">
        <f>J70/12*'RATES-Fed'!$D$43</f>
        <v>0</v>
      </c>
      <c r="L82" s="226">
        <f>+'RATES-Fed'!I29</f>
        <v>0.605</v>
      </c>
      <c r="M82" s="225">
        <f>M70/12*'RATES-Fed'!$D$43</f>
        <v>0</v>
      </c>
      <c r="N82" s="309">
        <f>'RATES-Fed'!Q64</f>
        <v>0</v>
      </c>
      <c r="O82" s="309"/>
      <c r="P82" s="309"/>
    </row>
    <row r="83" spans="4:13" ht="15.75">
      <c r="D83" s="298"/>
      <c r="E83" s="298"/>
      <c r="F83" s="298"/>
      <c r="G83" s="298"/>
      <c r="J83" s="225">
        <f>SUM(J81:J82)</f>
        <v>0</v>
      </c>
      <c r="M83" s="225">
        <f>SUM(M81:M82)</f>
        <v>0</v>
      </c>
    </row>
  </sheetData>
  <sheetProtection/>
  <mergeCells count="5">
    <mergeCell ref="K4:O5"/>
    <mergeCell ref="J8:L8"/>
    <mergeCell ref="M8:O8"/>
    <mergeCell ref="N82:P82"/>
    <mergeCell ref="D82:G83"/>
  </mergeCells>
  <dataValidations count="1">
    <dataValidation type="list" allowBlank="1" showInputMessage="1" showErrorMessage="1" sqref="D11 D13 D15 D17:D18">
      <formula1>APPTS</formula1>
    </dataValidation>
  </dataValidations>
  <hyperlinks>
    <hyperlink ref="C52" r:id="rId1" display="UC Tuition rates (Not Subject to Indirect)"/>
  </hyperlinks>
  <printOptions horizontalCentered="1"/>
  <pageMargins left="0.5" right="0.3" top="0.5" bottom="0.5" header="0.5" footer="0.5"/>
  <pageSetup fitToHeight="1" fitToWidth="1" horizontalDpi="300" verticalDpi="300" orientation="portrait" scale="61" r:id="rId4"/>
  <legacyDrawing r:id="rId3"/>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V82"/>
  <sheetViews>
    <sheetView showGridLines="0" zoomScale="75" zoomScaleNormal="75" workbookViewId="0" topLeftCell="A1">
      <selection activeCell="A1" sqref="A1"/>
    </sheetView>
  </sheetViews>
  <sheetFormatPr defaultColWidth="9.625" defaultRowHeight="15.75"/>
  <cols>
    <col min="1" max="2" width="2.625" style="0" customWidth="1"/>
    <col min="3" max="3" width="20.50390625" style="0" customWidth="1"/>
    <col min="4" max="4" width="16.125" style="0" customWidth="1"/>
    <col min="5" max="6" width="7.625" style="0" customWidth="1"/>
    <col min="7" max="7" width="9.875" style="0" customWidth="1"/>
    <col min="8" max="8" width="7.25390625" style="0" customWidth="1"/>
    <col min="9" max="9" width="7.25390625" style="0" hidden="1" customWidth="1"/>
    <col min="10" max="10" width="13.75390625" style="0" customWidth="1"/>
    <col min="11" max="11" width="8.125" style="168" bestFit="1" customWidth="1"/>
    <col min="12" max="12" width="10.125" style="188" bestFit="1" customWidth="1"/>
    <col min="13" max="13" width="11.25390625" style="0" customWidth="1"/>
    <col min="14" max="14" width="9.25390625" style="168" bestFit="1" customWidth="1"/>
    <col min="15" max="15" width="9.50390625" style="96" bestFit="1" customWidth="1"/>
    <col min="16" max="16" width="11.25390625" style="0" customWidth="1"/>
    <col min="17" max="17" width="9.25390625" style="168" bestFit="1" customWidth="1"/>
    <col min="18" max="18" width="8.75390625" style="96" bestFit="1" customWidth="1"/>
    <col min="19" max="19" width="14.625" style="0" customWidth="1"/>
    <col min="20" max="20" width="2.625" style="0" customWidth="1"/>
  </cols>
  <sheetData>
    <row r="1" spans="1:18" ht="18.75">
      <c r="A1" s="17" t="s">
        <v>0</v>
      </c>
      <c r="B1" s="18"/>
      <c r="C1" s="18"/>
      <c r="D1" s="18"/>
      <c r="E1" s="18"/>
      <c r="F1" s="18"/>
      <c r="G1" s="18"/>
      <c r="H1" s="18"/>
      <c r="I1" s="18"/>
      <c r="J1" s="19"/>
      <c r="K1" s="154"/>
      <c r="L1" s="176"/>
      <c r="M1" s="37"/>
      <c r="N1" s="169"/>
      <c r="O1" s="199"/>
      <c r="P1" s="37"/>
      <c r="Q1" s="169"/>
      <c r="R1" s="199"/>
    </row>
    <row r="2" spans="1:19" ht="18.75">
      <c r="A2" s="17" t="s">
        <v>216</v>
      </c>
      <c r="B2" s="18"/>
      <c r="C2" s="18"/>
      <c r="D2" s="18"/>
      <c r="E2" s="18"/>
      <c r="F2" s="18"/>
      <c r="G2" s="18"/>
      <c r="H2" s="18"/>
      <c r="I2" s="18"/>
      <c r="J2" s="19"/>
      <c r="K2" s="154"/>
      <c r="L2" s="176"/>
      <c r="M2" s="37"/>
      <c r="N2" s="169"/>
      <c r="O2" s="199"/>
      <c r="P2" s="37"/>
      <c r="Q2" s="169"/>
      <c r="R2" s="199"/>
      <c r="S2" s="37"/>
    </row>
    <row r="3" spans="1:19" ht="9.75" customHeight="1">
      <c r="A3" s="10" t="s">
        <v>1</v>
      </c>
      <c r="B3" s="1"/>
      <c r="J3" s="11" t="s">
        <v>1</v>
      </c>
      <c r="K3" s="155"/>
      <c r="L3" s="177"/>
      <c r="M3" s="8"/>
      <c r="P3" s="8"/>
      <c r="S3" s="8"/>
    </row>
    <row r="4" spans="1:19" ht="15.75">
      <c r="A4" s="22" t="s">
        <v>2</v>
      </c>
      <c r="B4" s="1"/>
      <c r="D4" s="10" t="s">
        <v>72</v>
      </c>
      <c r="G4" s="3"/>
      <c r="J4" s="20" t="s">
        <v>3</v>
      </c>
      <c r="K4" s="299" t="s">
        <v>72</v>
      </c>
      <c r="L4" s="300"/>
      <c r="M4" s="301"/>
      <c r="N4" s="301"/>
      <c r="O4" s="301"/>
      <c r="P4" s="301"/>
      <c r="Q4" s="301"/>
      <c r="R4" s="302"/>
      <c r="S4" s="8"/>
    </row>
    <row r="5" spans="1:19" ht="18.75">
      <c r="A5" s="22" t="s">
        <v>4</v>
      </c>
      <c r="B5" s="1"/>
      <c r="D5" s="10" t="s">
        <v>72</v>
      </c>
      <c r="E5" s="3"/>
      <c r="F5" s="3"/>
      <c r="H5" s="2"/>
      <c r="I5" s="2"/>
      <c r="J5" s="38"/>
      <c r="K5" s="303"/>
      <c r="L5" s="304"/>
      <c r="M5" s="304"/>
      <c r="N5" s="304"/>
      <c r="O5" s="304"/>
      <c r="P5" s="304"/>
      <c r="Q5" s="304"/>
      <c r="R5" s="305"/>
      <c r="S5" s="8"/>
    </row>
    <row r="6" spans="1:19" ht="15.75">
      <c r="A6" s="14"/>
      <c r="B6" s="22" t="s">
        <v>5</v>
      </c>
      <c r="D6" s="73">
        <f>'RATES-Fed'!E2</f>
        <v>42917</v>
      </c>
      <c r="E6" s="12" t="s">
        <v>6</v>
      </c>
      <c r="F6" s="12"/>
      <c r="G6" s="73">
        <f>'RATES-Fed'!G2</f>
        <v>44742</v>
      </c>
      <c r="H6" s="4"/>
      <c r="I6" s="4"/>
      <c r="J6" s="2"/>
      <c r="K6" s="156"/>
      <c r="L6" s="178"/>
      <c r="M6" s="3"/>
      <c r="N6" s="156"/>
      <c r="O6" s="151"/>
      <c r="P6" s="3"/>
      <c r="Q6" s="156"/>
      <c r="R6" s="151"/>
      <c r="S6" s="8"/>
    </row>
    <row r="7" spans="5:20" ht="7.5" customHeight="1">
      <c r="E7" s="3"/>
      <c r="F7" s="3"/>
      <c r="G7" s="1"/>
      <c r="H7" s="1"/>
      <c r="I7" s="1"/>
      <c r="J7" s="16" t="s">
        <v>1</v>
      </c>
      <c r="K7" s="155"/>
      <c r="L7" s="177"/>
      <c r="M7" s="8"/>
      <c r="N7" s="155"/>
      <c r="O7" s="145"/>
      <c r="P7" s="8"/>
      <c r="Q7" s="155"/>
      <c r="R7" s="145"/>
      <c r="S7" s="8"/>
      <c r="T7" s="1"/>
    </row>
    <row r="8" spans="1:20" ht="15.75">
      <c r="A8" s="21"/>
      <c r="B8" s="21"/>
      <c r="C8" s="21"/>
      <c r="D8" s="21"/>
      <c r="E8" s="21"/>
      <c r="F8" s="21"/>
      <c r="G8" s="21"/>
      <c r="H8" s="21"/>
      <c r="I8" s="21"/>
      <c r="J8" s="288" t="s">
        <v>22</v>
      </c>
      <c r="K8" s="289"/>
      <c r="L8" s="290"/>
      <c r="M8" s="306" t="s">
        <v>55</v>
      </c>
      <c r="N8" s="307"/>
      <c r="O8" s="308"/>
      <c r="P8" s="306" t="s">
        <v>57</v>
      </c>
      <c r="Q8" s="307"/>
      <c r="R8" s="308"/>
      <c r="S8" s="174" t="s">
        <v>8</v>
      </c>
      <c r="T8" s="21"/>
    </row>
    <row r="9" spans="1:20" s="149" customFormat="1" ht="15.75">
      <c r="A9" s="147" t="s">
        <v>9</v>
      </c>
      <c r="B9" s="147" t="s">
        <v>10</v>
      </c>
      <c r="C9" s="147"/>
      <c r="D9" s="147"/>
      <c r="E9" s="147"/>
      <c r="F9" s="147"/>
      <c r="G9" s="147"/>
      <c r="H9" s="147"/>
      <c r="I9" s="147"/>
      <c r="J9" s="192" t="s">
        <v>211</v>
      </c>
      <c r="K9" s="157" t="s">
        <v>212</v>
      </c>
      <c r="L9" s="147" t="s">
        <v>213</v>
      </c>
      <c r="M9" s="198" t="s">
        <v>211</v>
      </c>
      <c r="N9" s="157" t="s">
        <v>212</v>
      </c>
      <c r="O9" s="147" t="s">
        <v>213</v>
      </c>
      <c r="P9" s="198" t="s">
        <v>211</v>
      </c>
      <c r="Q9" s="157" t="s">
        <v>212</v>
      </c>
      <c r="R9" s="147" t="s">
        <v>213</v>
      </c>
      <c r="S9" s="148"/>
      <c r="T9" s="147"/>
    </row>
    <row r="10" spans="1:20" ht="15.75">
      <c r="A10" s="1"/>
      <c r="B10" s="23" t="s">
        <v>11</v>
      </c>
      <c r="C10" s="24"/>
      <c r="D10" s="24" t="s">
        <v>104</v>
      </c>
      <c r="E10" s="1" t="s">
        <v>12</v>
      </c>
      <c r="F10" s="41" t="s">
        <v>130</v>
      </c>
      <c r="G10" s="41" t="s">
        <v>13</v>
      </c>
      <c r="H10" s="1"/>
      <c r="I10" s="1"/>
      <c r="J10" s="193"/>
      <c r="K10" s="155"/>
      <c r="L10" s="145"/>
      <c r="M10" s="193"/>
      <c r="N10" s="155"/>
      <c r="O10" s="145"/>
      <c r="P10" s="193"/>
      <c r="Q10" s="155"/>
      <c r="R10" s="145"/>
      <c r="S10" s="2">
        <f>IF(SUM(J10:N10)=0,"",SUM(J10:N10))</f>
      </c>
      <c r="T10" s="1"/>
    </row>
    <row r="11" spans="1:20" ht="15.75">
      <c r="A11" s="1"/>
      <c r="B11" s="1" t="s">
        <v>14</v>
      </c>
      <c r="C11" s="10" t="str">
        <f>D5</f>
        <v>name</v>
      </c>
      <c r="D11" s="142" t="s">
        <v>132</v>
      </c>
      <c r="E11" s="70">
        <v>0</v>
      </c>
      <c r="F11" s="101">
        <f aca="true" t="shared" si="0" ref="F11:F18">IF(D11="CAL",(52*E11/4.3333),(IF(D11="ACAD",(32*E11/4.33333),IF(D11="SUMR",(14*E11/4.33333),IF(D11="PT",(0),0)))))</f>
        <v>0</v>
      </c>
      <c r="G11" s="69">
        <v>0</v>
      </c>
      <c r="J11" s="190">
        <f>ROUND(G11*E11,0)</f>
        <v>0</v>
      </c>
      <c r="K11" s="158">
        <f>ROUND(J11*'RATES-Fed'!E36,0)</f>
        <v>0</v>
      </c>
      <c r="L11" s="67">
        <f>ROUND(K11+J11,0)</f>
        <v>0</v>
      </c>
      <c r="M11" s="190">
        <f>ROUND((J11*1.02),0)</f>
        <v>0</v>
      </c>
      <c r="N11" s="158">
        <f>ROUND(M11*'RATES-Fed'!G36,0)</f>
        <v>0</v>
      </c>
      <c r="O11" s="67">
        <f aca="true" t="shared" si="1" ref="O11:O18">ROUND(M11+N11,0)</f>
        <v>0</v>
      </c>
      <c r="P11" s="190">
        <f>ROUND((M11*1.02),0)</f>
        <v>0</v>
      </c>
      <c r="Q11" s="158">
        <f>ROUND(P11*'RATES-Fed'!I36,0)</f>
        <v>0</v>
      </c>
      <c r="R11" s="67">
        <f>SUM(P11:Q11)</f>
        <v>0</v>
      </c>
      <c r="S11" s="42">
        <f>SUM(L11+O11+R11)</f>
        <v>0</v>
      </c>
      <c r="T11" s="1"/>
    </row>
    <row r="12" spans="1:20" ht="15.75">
      <c r="A12" s="1"/>
      <c r="B12" s="1" t="s">
        <v>14</v>
      </c>
      <c r="C12" s="3"/>
      <c r="D12" s="142" t="str">
        <f>IF(D11="ACAD",("SUMR"),"")</f>
        <v>SUMR</v>
      </c>
      <c r="E12" s="70">
        <v>0</v>
      </c>
      <c r="F12" s="101">
        <f t="shared" si="0"/>
        <v>0</v>
      </c>
      <c r="G12" s="69">
        <f>+G11*0.4375</f>
        <v>0</v>
      </c>
      <c r="J12" s="190">
        <f aca="true" t="shared" si="2" ref="J12:J18">ROUND(G12*E12,0)</f>
        <v>0</v>
      </c>
      <c r="K12" s="158">
        <f>ROUND(J12*'RATES-Fed'!E36,0)</f>
        <v>0</v>
      </c>
      <c r="L12" s="67">
        <f aca="true" t="shared" si="3" ref="L12:L18">ROUND(K12+J12,0)</f>
        <v>0</v>
      </c>
      <c r="M12" s="190">
        <f aca="true" t="shared" si="4" ref="M12:M18">ROUND((J12*1.02),0)</f>
        <v>0</v>
      </c>
      <c r="N12" s="158">
        <f>ROUND(M12*'RATES-Fed'!G36,0)</f>
        <v>0</v>
      </c>
      <c r="O12" s="67">
        <f t="shared" si="1"/>
        <v>0</v>
      </c>
      <c r="P12" s="190">
        <f aca="true" t="shared" si="5" ref="P12:P18">ROUND((M12*1.02),0)</f>
        <v>0</v>
      </c>
      <c r="Q12" s="158">
        <f>ROUND(P12*'RATES-Fed'!I36,0)</f>
        <v>0</v>
      </c>
      <c r="R12" s="67">
        <f aca="true" t="shared" si="6" ref="R12:R18">SUM(P12:Q12)</f>
        <v>0</v>
      </c>
      <c r="S12" s="42">
        <f aca="true" t="shared" si="7" ref="S12:S18">SUM(L12+O12+R12)</f>
        <v>0</v>
      </c>
      <c r="T12" s="1"/>
    </row>
    <row r="13" spans="1:20" ht="15.75">
      <c r="A13" s="1"/>
      <c r="B13" s="1" t="s">
        <v>15</v>
      </c>
      <c r="C13" s="3"/>
      <c r="D13" s="142" t="s">
        <v>132</v>
      </c>
      <c r="E13" s="70">
        <v>0</v>
      </c>
      <c r="F13" s="101">
        <f t="shared" si="0"/>
        <v>0</v>
      </c>
      <c r="G13" s="69">
        <v>0</v>
      </c>
      <c r="J13" s="190">
        <f t="shared" si="2"/>
        <v>0</v>
      </c>
      <c r="K13" s="158">
        <f>ROUND(J13*'RATES-Fed'!E36,0)</f>
        <v>0</v>
      </c>
      <c r="L13" s="67">
        <f t="shared" si="3"/>
        <v>0</v>
      </c>
      <c r="M13" s="190">
        <f t="shared" si="4"/>
        <v>0</v>
      </c>
      <c r="N13" s="158">
        <f>ROUND(M13*'RATES-Fed'!G36,0)</f>
        <v>0</v>
      </c>
      <c r="O13" s="67">
        <f t="shared" si="1"/>
        <v>0</v>
      </c>
      <c r="P13" s="190">
        <f t="shared" si="5"/>
        <v>0</v>
      </c>
      <c r="Q13" s="158">
        <f>ROUND(P13*'RATES-Fed'!I36,0)</f>
        <v>0</v>
      </c>
      <c r="R13" s="67">
        <f t="shared" si="6"/>
        <v>0</v>
      </c>
      <c r="S13" s="42">
        <f t="shared" si="7"/>
        <v>0</v>
      </c>
      <c r="T13" s="1"/>
    </row>
    <row r="14" spans="1:19" ht="15.75">
      <c r="A14" s="1"/>
      <c r="B14" s="1"/>
      <c r="C14" s="3"/>
      <c r="D14" s="142" t="str">
        <f>IF(D13="ACAD",("SUMR"),"")</f>
        <v>SUMR</v>
      </c>
      <c r="E14" s="70">
        <v>0</v>
      </c>
      <c r="F14" s="101">
        <f t="shared" si="0"/>
        <v>0</v>
      </c>
      <c r="G14" s="69">
        <f>+G13*0.4375</f>
        <v>0</v>
      </c>
      <c r="J14" s="190">
        <f t="shared" si="2"/>
        <v>0</v>
      </c>
      <c r="K14" s="158">
        <f>ROUND(J14*'RATES-Fed'!E36,0)</f>
        <v>0</v>
      </c>
      <c r="L14" s="67">
        <f t="shared" si="3"/>
        <v>0</v>
      </c>
      <c r="M14" s="190">
        <f t="shared" si="4"/>
        <v>0</v>
      </c>
      <c r="N14" s="158">
        <f>ROUND(M14*'RATES-Fed'!G36,0)</f>
        <v>0</v>
      </c>
      <c r="O14" s="67">
        <f t="shared" si="1"/>
        <v>0</v>
      </c>
      <c r="P14" s="190">
        <f t="shared" si="5"/>
        <v>0</v>
      </c>
      <c r="Q14" s="158">
        <f>ROUND(P14*'RATES-Fed'!I36,0)</f>
        <v>0</v>
      </c>
      <c r="R14" s="67">
        <f t="shared" si="6"/>
        <v>0</v>
      </c>
      <c r="S14" s="42">
        <f t="shared" si="7"/>
        <v>0</v>
      </c>
    </row>
    <row r="15" spans="1:20" ht="15.75">
      <c r="A15" s="1"/>
      <c r="B15" s="1" t="s">
        <v>15</v>
      </c>
      <c r="C15" s="3"/>
      <c r="D15" s="142" t="s">
        <v>132</v>
      </c>
      <c r="E15" s="70">
        <v>0</v>
      </c>
      <c r="F15" s="101">
        <f t="shared" si="0"/>
        <v>0</v>
      </c>
      <c r="G15" s="69">
        <v>0</v>
      </c>
      <c r="J15" s="190">
        <f t="shared" si="2"/>
        <v>0</v>
      </c>
      <c r="K15" s="158">
        <f>ROUND(J15*'RATES-Fed'!E36,0)</f>
        <v>0</v>
      </c>
      <c r="L15" s="67">
        <f t="shared" si="3"/>
        <v>0</v>
      </c>
      <c r="M15" s="190">
        <f t="shared" si="4"/>
        <v>0</v>
      </c>
      <c r="N15" s="158">
        <f>ROUND(M15*'RATES-Fed'!G36,0)</f>
        <v>0</v>
      </c>
      <c r="O15" s="67">
        <f t="shared" si="1"/>
        <v>0</v>
      </c>
      <c r="P15" s="190">
        <f t="shared" si="5"/>
        <v>0</v>
      </c>
      <c r="Q15" s="158">
        <f>ROUND(P15*'RATES-Fed'!I36,0)</f>
        <v>0</v>
      </c>
      <c r="R15" s="67">
        <f t="shared" si="6"/>
        <v>0</v>
      </c>
      <c r="S15" s="42">
        <f t="shared" si="7"/>
        <v>0</v>
      </c>
      <c r="T15" s="1"/>
    </row>
    <row r="16" spans="1:19" ht="15.75">
      <c r="A16" s="1"/>
      <c r="B16" s="1"/>
      <c r="C16" s="3"/>
      <c r="D16" s="142" t="str">
        <f>IF(D15="ACAD",("SUMR"),"")</f>
        <v>SUMR</v>
      </c>
      <c r="E16" s="70">
        <v>0</v>
      </c>
      <c r="F16" s="101">
        <f t="shared" si="0"/>
        <v>0</v>
      </c>
      <c r="G16" s="69">
        <f>+G15*0.4375</f>
        <v>0</v>
      </c>
      <c r="J16" s="190">
        <f t="shared" si="2"/>
        <v>0</v>
      </c>
      <c r="K16" s="158">
        <f>ROUND(J16*'RATES-Fed'!E36,0)</f>
        <v>0</v>
      </c>
      <c r="L16" s="67">
        <f t="shared" si="3"/>
        <v>0</v>
      </c>
      <c r="M16" s="190">
        <f t="shared" si="4"/>
        <v>0</v>
      </c>
      <c r="N16" s="158">
        <f>ROUND(M16*'RATES-Fed'!G36,0)</f>
        <v>0</v>
      </c>
      <c r="O16" s="67">
        <f t="shared" si="1"/>
        <v>0</v>
      </c>
      <c r="P16" s="190">
        <f t="shared" si="5"/>
        <v>0</v>
      </c>
      <c r="Q16" s="158">
        <f>ROUND(P16*'RATES-Fed'!I36,0)</f>
        <v>0</v>
      </c>
      <c r="R16" s="67">
        <f t="shared" si="6"/>
        <v>0</v>
      </c>
      <c r="S16" s="42">
        <f t="shared" si="7"/>
        <v>0</v>
      </c>
    </row>
    <row r="17" spans="1:20" ht="15.75">
      <c r="A17" s="1"/>
      <c r="B17" s="1" t="s">
        <v>15</v>
      </c>
      <c r="C17" s="3"/>
      <c r="D17" s="142" t="s">
        <v>131</v>
      </c>
      <c r="E17" s="70">
        <v>0</v>
      </c>
      <c r="F17" s="101">
        <f t="shared" si="0"/>
        <v>0</v>
      </c>
      <c r="G17" s="69">
        <v>0</v>
      </c>
      <c r="J17" s="190">
        <f t="shared" si="2"/>
        <v>0</v>
      </c>
      <c r="K17" s="158">
        <f>ROUND(J17*'RATES-Fed'!E36,0)</f>
        <v>0</v>
      </c>
      <c r="L17" s="67">
        <f t="shared" si="3"/>
        <v>0</v>
      </c>
      <c r="M17" s="190">
        <f t="shared" si="4"/>
        <v>0</v>
      </c>
      <c r="N17" s="158">
        <f>ROUND(M17*'RATES-Fed'!G36,0)</f>
        <v>0</v>
      </c>
      <c r="O17" s="67">
        <f t="shared" si="1"/>
        <v>0</v>
      </c>
      <c r="P17" s="190">
        <f t="shared" si="5"/>
        <v>0</v>
      </c>
      <c r="Q17" s="158">
        <f>ROUND(P17*'RATES-Fed'!I36,0)</f>
        <v>0</v>
      </c>
      <c r="R17" s="67">
        <f t="shared" si="6"/>
        <v>0</v>
      </c>
      <c r="S17" s="42">
        <f t="shared" si="7"/>
        <v>0</v>
      </c>
      <c r="T17" s="1"/>
    </row>
    <row r="18" spans="1:19" ht="15.75">
      <c r="A18" s="1"/>
      <c r="B18" s="1" t="s">
        <v>15</v>
      </c>
      <c r="C18" s="3"/>
      <c r="D18" s="142" t="s">
        <v>131</v>
      </c>
      <c r="E18" s="70">
        <v>0</v>
      </c>
      <c r="F18" s="101">
        <f t="shared" si="0"/>
        <v>0</v>
      </c>
      <c r="G18" s="69">
        <v>0</v>
      </c>
      <c r="J18" s="206">
        <f t="shared" si="2"/>
        <v>0</v>
      </c>
      <c r="K18" s="211">
        <f>ROUND(J18*'RATES-Fed'!E36,0)</f>
        <v>0</v>
      </c>
      <c r="L18" s="212">
        <f t="shared" si="3"/>
        <v>0</v>
      </c>
      <c r="M18" s="190">
        <f t="shared" si="4"/>
        <v>0</v>
      </c>
      <c r="N18" s="211">
        <f>ROUND(M18*'RATES-Fed'!G36,0)</f>
        <v>0</v>
      </c>
      <c r="O18" s="212">
        <f t="shared" si="1"/>
        <v>0</v>
      </c>
      <c r="P18" s="190">
        <f t="shared" si="5"/>
        <v>0</v>
      </c>
      <c r="Q18" s="211">
        <f>ROUND(P18*'RATES-Fed'!I36,0)</f>
        <v>0</v>
      </c>
      <c r="R18" s="212">
        <f t="shared" si="6"/>
        <v>0</v>
      </c>
      <c r="S18" s="209">
        <f t="shared" si="7"/>
        <v>0</v>
      </c>
    </row>
    <row r="19" spans="1:20" ht="15.75">
      <c r="A19" s="1"/>
      <c r="B19" s="1"/>
      <c r="C19" s="1"/>
      <c r="D19" s="25" t="s">
        <v>16</v>
      </c>
      <c r="E19" s="26"/>
      <c r="F19" s="26"/>
      <c r="G19" s="1"/>
      <c r="H19" s="1"/>
      <c r="I19" s="1"/>
      <c r="J19" s="210">
        <f aca="true" t="shared" si="8" ref="J19:S19">SUM(J11:J18)</f>
        <v>0</v>
      </c>
      <c r="K19" s="159">
        <f t="shared" si="8"/>
        <v>0</v>
      </c>
      <c r="L19" s="46">
        <f t="shared" si="8"/>
        <v>0</v>
      </c>
      <c r="M19" s="210">
        <f t="shared" si="8"/>
        <v>0</v>
      </c>
      <c r="N19" s="159">
        <f t="shared" si="8"/>
        <v>0</v>
      </c>
      <c r="O19" s="46">
        <f t="shared" si="8"/>
        <v>0</v>
      </c>
      <c r="P19" s="210">
        <f t="shared" si="8"/>
        <v>0</v>
      </c>
      <c r="Q19" s="159">
        <f t="shared" si="8"/>
        <v>0</v>
      </c>
      <c r="R19" s="46">
        <f t="shared" si="8"/>
        <v>0</v>
      </c>
      <c r="S19" s="42">
        <f t="shared" si="8"/>
        <v>0</v>
      </c>
      <c r="T19" s="6"/>
    </row>
    <row r="20" spans="1:20" ht="7.5" customHeight="1">
      <c r="A20" s="1"/>
      <c r="B20" s="1"/>
      <c r="C20" s="1"/>
      <c r="D20" s="26"/>
      <c r="E20" s="26"/>
      <c r="F20" s="26"/>
      <c r="G20" s="1"/>
      <c r="H20" s="1"/>
      <c r="I20" s="1"/>
      <c r="J20" s="195"/>
      <c r="K20" s="159"/>
      <c r="L20" s="46"/>
      <c r="M20" s="189"/>
      <c r="N20" s="159"/>
      <c r="O20" s="46"/>
      <c r="P20" s="189"/>
      <c r="Q20" s="159"/>
      <c r="R20" s="46"/>
      <c r="S20" s="42"/>
      <c r="T20" s="6"/>
    </row>
    <row r="21" spans="1:20" ht="15.75">
      <c r="A21" s="22" t="s">
        <v>17</v>
      </c>
      <c r="B21" s="22" t="s">
        <v>18</v>
      </c>
      <c r="C21" s="1"/>
      <c r="D21" s="26"/>
      <c r="E21" s="1"/>
      <c r="F21" s="1"/>
      <c r="G21" s="41"/>
      <c r="H21" s="1"/>
      <c r="I21" s="1"/>
      <c r="J21" s="193"/>
      <c r="K21" s="155"/>
      <c r="L21" s="145"/>
      <c r="M21" s="193"/>
      <c r="N21" s="159"/>
      <c r="O21" s="46"/>
      <c r="P21" s="193"/>
      <c r="Q21" s="159"/>
      <c r="R21" s="46"/>
      <c r="S21" s="42"/>
      <c r="T21" s="6"/>
    </row>
    <row r="22" spans="1:20" ht="15.75">
      <c r="A22" s="1"/>
      <c r="C22" s="13" t="s">
        <v>89</v>
      </c>
      <c r="D22" s="41" t="s">
        <v>128</v>
      </c>
      <c r="E22" s="68"/>
      <c r="F22" s="68"/>
      <c r="G22" s="59"/>
      <c r="J22" s="190"/>
      <c r="K22" s="160"/>
      <c r="L22" s="50"/>
      <c r="M22" s="190"/>
      <c r="N22" s="170"/>
      <c r="O22" s="150"/>
      <c r="P22" s="190"/>
      <c r="Q22" s="170"/>
      <c r="R22" s="150"/>
      <c r="S22" s="42"/>
      <c r="T22" s="5"/>
    </row>
    <row r="23" spans="1:20" ht="15.75">
      <c r="A23" s="1"/>
      <c r="C23" s="13"/>
      <c r="D23" s="99"/>
      <c r="E23" s="70">
        <v>0</v>
      </c>
      <c r="F23" s="100">
        <f>SUM(52*E23/4.33)</f>
        <v>0</v>
      </c>
      <c r="G23" s="69">
        <v>0</v>
      </c>
      <c r="J23" s="190">
        <f>ROUND(G23*E23,0)</f>
        <v>0</v>
      </c>
      <c r="K23" s="160">
        <f>ROUND(J23*'RATES-Fed'!E37,0)</f>
        <v>0</v>
      </c>
      <c r="L23" s="50">
        <f>SUM(J23:K23)</f>
        <v>0</v>
      </c>
      <c r="M23" s="190">
        <f>ROUND(J23*1.02,0)</f>
        <v>0</v>
      </c>
      <c r="N23" s="160">
        <f>ROUND(M23*'RATES-Fed'!G37,0)</f>
        <v>0</v>
      </c>
      <c r="O23" s="50">
        <f>SUM(M23:N23)</f>
        <v>0</v>
      </c>
      <c r="P23" s="190">
        <f>ROUND(M23*1.02,0)</f>
        <v>0</v>
      </c>
      <c r="Q23" s="160">
        <f>ROUND(P23*'RATES-Fed'!I37,0)</f>
        <v>0</v>
      </c>
      <c r="R23" s="50">
        <f>SUM(P23:Q23)</f>
        <v>0</v>
      </c>
      <c r="S23" s="42">
        <f>SUM(L23+O23+R23)</f>
        <v>0</v>
      </c>
      <c r="T23" s="5"/>
    </row>
    <row r="24" spans="1:20" ht="15.75">
      <c r="A24" s="1"/>
      <c r="C24" s="13"/>
      <c r="D24" s="1"/>
      <c r="E24" s="70">
        <v>0</v>
      </c>
      <c r="F24" s="100">
        <f>SUM(52*E24/4.33)</f>
        <v>0</v>
      </c>
      <c r="G24" s="69">
        <v>0</v>
      </c>
      <c r="J24" s="190">
        <f>ROUND(G24*E24,0)</f>
        <v>0</v>
      </c>
      <c r="K24" s="160">
        <f>ROUND(J24*'RATES-Fed'!E37,0)</f>
        <v>0</v>
      </c>
      <c r="L24" s="50">
        <f>SUM(J24:K24)</f>
        <v>0</v>
      </c>
      <c r="M24" s="190">
        <f>ROUND(J24*1.02,0)</f>
        <v>0</v>
      </c>
      <c r="N24" s="160">
        <f>ROUND(M24*'RATES-Fed'!G37,0)</f>
        <v>0</v>
      </c>
      <c r="O24" s="50">
        <f>SUM(M24:N24)</f>
        <v>0</v>
      </c>
      <c r="P24" s="190">
        <f>ROUND(M24*1.02,0)</f>
        <v>0</v>
      </c>
      <c r="Q24" s="160">
        <f>ROUND(P24*'RATES-Fed'!I37,0)</f>
        <v>0</v>
      </c>
      <c r="R24" s="50">
        <f>SUM(P24:Q24)</f>
        <v>0</v>
      </c>
      <c r="S24" s="42">
        <f>SUM(L24+O24+R24)</f>
        <v>0</v>
      </c>
      <c r="T24" s="5"/>
    </row>
    <row r="25" spans="1:20" ht="15.75">
      <c r="A25" s="1"/>
      <c r="C25" s="13"/>
      <c r="D25" s="1"/>
      <c r="E25" s="70">
        <v>0</v>
      </c>
      <c r="F25" s="100">
        <f>SUM(52*E25/4.33)</f>
        <v>0</v>
      </c>
      <c r="G25" s="69">
        <v>0</v>
      </c>
      <c r="J25" s="206">
        <f>ROUND(G25*E25,0)</f>
        <v>0</v>
      </c>
      <c r="K25" s="207">
        <f>ROUND(J25*'RATES-Fed'!E37,0)</f>
        <v>0</v>
      </c>
      <c r="L25" s="208">
        <f>SUM(J25:K25)</f>
        <v>0</v>
      </c>
      <c r="M25" s="190">
        <f>ROUND(J25*1.02,0)</f>
        <v>0</v>
      </c>
      <c r="N25" s="207">
        <f>ROUND(M25*'RATES-Fed'!G37,0)</f>
        <v>0</v>
      </c>
      <c r="O25" s="208">
        <f>SUM(M25:N25)</f>
        <v>0</v>
      </c>
      <c r="P25" s="190">
        <f>ROUND(M25*1.02,0)</f>
        <v>0</v>
      </c>
      <c r="Q25" s="207">
        <f>ROUND(P25*'RATES-Fed'!I37,0)</f>
        <v>0</v>
      </c>
      <c r="R25" s="208">
        <f>SUM(P25:Q25)</f>
        <v>0</v>
      </c>
      <c r="S25" s="209">
        <f>SUM(L25+O25+R25)</f>
        <v>0</v>
      </c>
      <c r="T25" s="5"/>
    </row>
    <row r="26" spans="1:20" ht="15.75">
      <c r="A26" s="1"/>
      <c r="C26" s="13"/>
      <c r="D26" s="1" t="s">
        <v>129</v>
      </c>
      <c r="E26" s="70"/>
      <c r="F26" s="70"/>
      <c r="G26" s="69"/>
      <c r="J26" s="196">
        <f aca="true" t="shared" si="9" ref="J26:S26">SUM(J23:J25)</f>
        <v>0</v>
      </c>
      <c r="K26" s="160">
        <f t="shared" si="9"/>
        <v>0</v>
      </c>
      <c r="L26" s="50">
        <f t="shared" si="9"/>
        <v>0</v>
      </c>
      <c r="M26" s="196">
        <f t="shared" si="9"/>
        <v>0</v>
      </c>
      <c r="N26" s="170">
        <f t="shared" si="9"/>
        <v>0</v>
      </c>
      <c r="O26" s="150">
        <f t="shared" si="9"/>
        <v>0</v>
      </c>
      <c r="P26" s="196">
        <f t="shared" si="9"/>
        <v>0</v>
      </c>
      <c r="Q26" s="170">
        <f t="shared" si="9"/>
        <v>0</v>
      </c>
      <c r="R26" s="150">
        <f t="shared" si="9"/>
        <v>0</v>
      </c>
      <c r="S26" s="42">
        <f t="shared" si="9"/>
        <v>0</v>
      </c>
      <c r="T26" s="5"/>
    </row>
    <row r="27" spans="1:20" ht="9.75" customHeight="1">
      <c r="A27" s="1"/>
      <c r="C27" s="13"/>
      <c r="D27" s="1"/>
      <c r="E27" s="70"/>
      <c r="F27" s="70"/>
      <c r="G27" s="69"/>
      <c r="J27" s="196"/>
      <c r="K27" s="160"/>
      <c r="L27" s="50"/>
      <c r="M27" s="196"/>
      <c r="N27" s="170"/>
      <c r="O27" s="150"/>
      <c r="P27" s="196"/>
      <c r="Q27" s="170"/>
      <c r="R27" s="150"/>
      <c r="S27" s="42"/>
      <c r="T27" s="5"/>
    </row>
    <row r="28" spans="1:20" ht="15.75">
      <c r="A28" s="1"/>
      <c r="C28" s="13" t="s">
        <v>90</v>
      </c>
      <c r="D28" s="1"/>
      <c r="E28" s="68"/>
      <c r="F28" s="68"/>
      <c r="G28" s="59"/>
      <c r="J28" s="190">
        <v>0</v>
      </c>
      <c r="K28" s="160">
        <f>ROUND(J28*'RATES-Fed'!E40,0)</f>
        <v>0</v>
      </c>
      <c r="L28" s="50">
        <f>SUM(J28:K28)</f>
        <v>0</v>
      </c>
      <c r="M28" s="190">
        <f>ROUND((J28*1.02),0)</f>
        <v>0</v>
      </c>
      <c r="N28" s="160">
        <f>ROUND(M28*'RATES-Fed'!G40,0)</f>
        <v>0</v>
      </c>
      <c r="O28" s="50">
        <f>SUM(M28:N28)</f>
        <v>0</v>
      </c>
      <c r="P28" s="190">
        <f>ROUND((M28*1.02),0)</f>
        <v>0</v>
      </c>
      <c r="Q28" s="160">
        <f>ROUND(P28*'RATES-Fed'!I40,0)</f>
        <v>0</v>
      </c>
      <c r="R28" s="50">
        <f>SUM(P28:Q28)</f>
        <v>0</v>
      </c>
      <c r="S28" s="42">
        <f>SUM(L28+O28+R28)</f>
        <v>0</v>
      </c>
      <c r="T28" s="5"/>
    </row>
    <row r="29" spans="1:20" ht="15.75">
      <c r="A29" s="1"/>
      <c r="C29" s="13" t="s">
        <v>19</v>
      </c>
      <c r="D29" s="1"/>
      <c r="E29" s="3"/>
      <c r="F29" s="3"/>
      <c r="J29" s="190">
        <v>0</v>
      </c>
      <c r="K29" s="160">
        <f>ROUND(J29*'RATES-Fed'!E39,0)</f>
        <v>0</v>
      </c>
      <c r="L29" s="50">
        <f>SUM(J29:K29)</f>
        <v>0</v>
      </c>
      <c r="M29" s="190">
        <f>ROUND((J29*1.02),0)</f>
        <v>0</v>
      </c>
      <c r="N29" s="160">
        <f>ROUND(M29*'RATES-Fed'!G39,0)</f>
        <v>0</v>
      </c>
      <c r="O29" s="50">
        <f>SUM(M29:N29)</f>
        <v>0</v>
      </c>
      <c r="P29" s="190">
        <f>ROUND((M29*1.02),0)</f>
        <v>0</v>
      </c>
      <c r="Q29" s="160">
        <f>ROUND(P29*'RATES-Fed'!I39,0)</f>
        <v>0</v>
      </c>
      <c r="R29" s="50">
        <f>SUM(P29:Q29)</f>
        <v>0</v>
      </c>
      <c r="S29" s="42">
        <f>SUM(L29+O29+R29)</f>
        <v>0</v>
      </c>
      <c r="T29" s="5"/>
    </row>
    <row r="30" spans="1:20" ht="15.75">
      <c r="A30" s="1"/>
      <c r="C30" s="13" t="s">
        <v>20</v>
      </c>
      <c r="D30" s="1"/>
      <c r="E30" s="3"/>
      <c r="F30" s="3"/>
      <c r="J30" s="190">
        <v>0</v>
      </c>
      <c r="K30" s="160">
        <f>ROUND(J30*'RATES-Fed'!E39,0)</f>
        <v>0</v>
      </c>
      <c r="L30" s="50">
        <f>SUM(J30:K30)</f>
        <v>0</v>
      </c>
      <c r="M30" s="190">
        <f>ROUND((J30*1.02),0)</f>
        <v>0</v>
      </c>
      <c r="N30" s="160">
        <f>ROUND(M30*'RATES-Fed'!G39,0)</f>
        <v>0</v>
      </c>
      <c r="O30" s="50">
        <f>SUM(M30:N30)</f>
        <v>0</v>
      </c>
      <c r="P30" s="190">
        <f>ROUND((M30*1.02),0)</f>
        <v>0</v>
      </c>
      <c r="Q30" s="160">
        <f>ROUND(P30*'RATES-Fed'!I39,0)</f>
        <v>0</v>
      </c>
      <c r="R30" s="50">
        <f>SUM(P30:Q30)</f>
        <v>0</v>
      </c>
      <c r="S30" s="42">
        <f>SUM(L30+O30+R30)</f>
        <v>0</v>
      </c>
      <c r="T30" s="5"/>
    </row>
    <row r="31" spans="1:20" s="96" customFormat="1" ht="15.75">
      <c r="A31" s="145"/>
      <c r="C31" s="144" t="s">
        <v>21</v>
      </c>
      <c r="D31" s="145"/>
      <c r="E31" s="151"/>
      <c r="F31" s="151"/>
      <c r="J31" s="190">
        <v>0</v>
      </c>
      <c r="K31" s="160">
        <f>ROUND(J31*'RATES-Fed'!E40,0)</f>
        <v>0</v>
      </c>
      <c r="L31" s="50">
        <f>SUM(J31:K31)</f>
        <v>0</v>
      </c>
      <c r="M31" s="190">
        <f>ROUND((J31*1.02),0)</f>
        <v>0</v>
      </c>
      <c r="N31" s="160">
        <f>ROUND(M31*'RATES-Fed'!G40,0)</f>
        <v>0</v>
      </c>
      <c r="O31" s="50">
        <f>SUM(M31:N31)</f>
        <v>0</v>
      </c>
      <c r="P31" s="190">
        <f>ROUND((M31*1.02),0)</f>
        <v>0</v>
      </c>
      <c r="Q31" s="160">
        <f>ROUND(P31*'RATES-Fed'!I40,0)</f>
        <v>0</v>
      </c>
      <c r="R31" s="50">
        <f>SUM(P31:Q31)</f>
        <v>0</v>
      </c>
      <c r="S31" s="42">
        <f>SUM(L31+O31+R31)</f>
        <v>0</v>
      </c>
      <c r="T31" s="152"/>
    </row>
    <row r="32" spans="1:20" s="96" customFormat="1" ht="15.75">
      <c r="A32" s="145"/>
      <c r="C32" s="144" t="s">
        <v>91</v>
      </c>
      <c r="D32" s="145"/>
      <c r="E32" s="153"/>
      <c r="F32" s="153"/>
      <c r="G32" s="59"/>
      <c r="J32" s="206">
        <v>0</v>
      </c>
      <c r="K32" s="207">
        <f>ROUND(J32*'RATES-Fed'!E38,0)</f>
        <v>0</v>
      </c>
      <c r="L32" s="208">
        <f>SUM(J32:K32)</f>
        <v>0</v>
      </c>
      <c r="M32" s="190">
        <f>ROUND((J32*1.02),0)</f>
        <v>0</v>
      </c>
      <c r="N32" s="214">
        <f>ROUND(M32*'RATES-Fed'!G38,0)</f>
        <v>0</v>
      </c>
      <c r="O32" s="208">
        <f>SUM(M32:N32)</f>
        <v>0</v>
      </c>
      <c r="P32" s="190">
        <f>ROUND((M32*1.02),0)</f>
        <v>0</v>
      </c>
      <c r="Q32" s="214">
        <f>ROUND(P32*'RATES-Fed'!I38,0)</f>
        <v>0</v>
      </c>
      <c r="R32" s="208">
        <f>SUM(P32:Q32)</f>
        <v>0</v>
      </c>
      <c r="S32" s="209">
        <f>SUM(L32+O32+R32)</f>
        <v>0</v>
      </c>
      <c r="T32" s="152"/>
    </row>
    <row r="33" spans="1:20" ht="15.75">
      <c r="A33" s="1"/>
      <c r="B33" s="1"/>
      <c r="C33" s="1"/>
      <c r="D33" s="191" t="s">
        <v>214</v>
      </c>
      <c r="E33" s="26"/>
      <c r="F33" s="26"/>
      <c r="G33" s="1"/>
      <c r="H33" s="1"/>
      <c r="I33" s="1"/>
      <c r="J33" s="213">
        <f aca="true" t="shared" si="10" ref="J33:R33">SUM(J19+J26+J28+J29+J30+J31+J32)</f>
        <v>0</v>
      </c>
      <c r="K33" s="160">
        <f t="shared" si="10"/>
        <v>0</v>
      </c>
      <c r="L33" s="50">
        <f t="shared" si="10"/>
        <v>0</v>
      </c>
      <c r="M33" s="213">
        <f t="shared" si="10"/>
        <v>0</v>
      </c>
      <c r="N33" s="160">
        <f t="shared" si="10"/>
        <v>0</v>
      </c>
      <c r="O33" s="50">
        <f t="shared" si="10"/>
        <v>0</v>
      </c>
      <c r="P33" s="213">
        <f t="shared" si="10"/>
        <v>0</v>
      </c>
      <c r="Q33" s="160">
        <f t="shared" si="10"/>
        <v>0</v>
      </c>
      <c r="R33" s="50">
        <f t="shared" si="10"/>
        <v>0</v>
      </c>
      <c r="S33" s="42"/>
      <c r="T33" s="5"/>
    </row>
    <row r="34" spans="1:20" ht="7.5" customHeight="1">
      <c r="A34" s="1"/>
      <c r="B34" s="1"/>
      <c r="C34" s="1"/>
      <c r="D34" s="26"/>
      <c r="E34" s="26"/>
      <c r="F34" s="26"/>
      <c r="G34" s="26"/>
      <c r="H34" s="26"/>
      <c r="I34" s="26"/>
      <c r="J34" s="52"/>
      <c r="K34" s="159"/>
      <c r="L34" s="179"/>
      <c r="M34" s="64"/>
      <c r="P34" s="64"/>
      <c r="Q34" s="159"/>
      <c r="R34" s="46"/>
      <c r="S34" s="64" t="s">
        <v>1</v>
      </c>
      <c r="T34" s="6"/>
    </row>
    <row r="35" spans="1:20" s="31" customFormat="1" ht="15.75">
      <c r="A35" s="40" t="s">
        <v>24</v>
      </c>
      <c r="B35" s="21"/>
      <c r="D35" s="28"/>
      <c r="E35" s="28"/>
      <c r="F35" s="28"/>
      <c r="G35" s="28"/>
      <c r="H35" s="28"/>
      <c r="I35" s="28"/>
      <c r="J35" s="47">
        <f>SUM(J33+K33)</f>
        <v>0</v>
      </c>
      <c r="K35" s="161"/>
      <c r="L35" s="181"/>
      <c r="M35" s="47">
        <f>SUM(M33+N33)</f>
        <v>0</v>
      </c>
      <c r="N35" s="161"/>
      <c r="O35" s="146"/>
      <c r="P35" s="47">
        <f>SUM(P33+Q33)</f>
        <v>0</v>
      </c>
      <c r="Q35" s="161"/>
      <c r="R35" s="146"/>
      <c r="S35" s="47">
        <f>SUM(J35+M35+P35)</f>
        <v>0</v>
      </c>
      <c r="T35" s="29"/>
    </row>
    <row r="36" spans="1:20" ht="8.25" customHeight="1">
      <c r="A36" s="1"/>
      <c r="B36" s="1"/>
      <c r="C36" s="28"/>
      <c r="D36" s="26"/>
      <c r="E36" s="26"/>
      <c r="F36" s="26"/>
      <c r="G36" s="26"/>
      <c r="H36" s="26"/>
      <c r="I36" s="26"/>
      <c r="J36" s="52"/>
      <c r="K36" s="159"/>
      <c r="L36" s="179"/>
      <c r="M36" s="46"/>
      <c r="N36" s="159"/>
      <c r="O36" s="46"/>
      <c r="P36" s="46"/>
      <c r="Q36" s="159"/>
      <c r="R36" s="46"/>
      <c r="S36" s="46" t="s">
        <v>1</v>
      </c>
      <c r="T36" s="6"/>
    </row>
    <row r="37" spans="1:20" ht="15.75">
      <c r="A37" s="22" t="s">
        <v>25</v>
      </c>
      <c r="B37" s="22" t="s">
        <v>26</v>
      </c>
      <c r="C37" s="21"/>
      <c r="D37" s="26"/>
      <c r="E37" s="26"/>
      <c r="F37" s="26"/>
      <c r="G37" s="26"/>
      <c r="H37" s="26"/>
      <c r="I37" s="26"/>
      <c r="J37" s="52"/>
      <c r="K37" s="159"/>
      <c r="L37" s="179"/>
      <c r="M37" s="50"/>
      <c r="N37" s="159"/>
      <c r="O37" s="46"/>
      <c r="P37" s="50"/>
      <c r="Q37" s="159"/>
      <c r="R37" s="46"/>
      <c r="S37" s="50" t="s">
        <v>1</v>
      </c>
      <c r="T37" s="6"/>
    </row>
    <row r="38" spans="1:20" ht="15.75">
      <c r="A38" s="21"/>
      <c r="B38" s="21"/>
      <c r="C38" s="10" t="s">
        <v>27</v>
      </c>
      <c r="D38" s="30"/>
      <c r="E38" s="30"/>
      <c r="F38" s="30"/>
      <c r="G38" s="30"/>
      <c r="H38" s="30"/>
      <c r="I38" s="30"/>
      <c r="J38" s="42">
        <v>0</v>
      </c>
      <c r="K38" s="159"/>
      <c r="L38" s="179"/>
      <c r="M38" s="42">
        <v>0</v>
      </c>
      <c r="N38" s="160"/>
      <c r="O38" s="50"/>
      <c r="P38" s="42">
        <v>0</v>
      </c>
      <c r="Q38" s="160"/>
      <c r="R38" s="50"/>
      <c r="S38" s="42">
        <f>SUM(J38:R38)</f>
        <v>0</v>
      </c>
      <c r="T38" s="6"/>
    </row>
    <row r="39" spans="1:20" ht="15.75">
      <c r="A39" s="21"/>
      <c r="B39" s="21"/>
      <c r="C39" s="10" t="s">
        <v>27</v>
      </c>
      <c r="D39" s="30"/>
      <c r="E39" s="30"/>
      <c r="F39" s="30"/>
      <c r="G39" s="30"/>
      <c r="H39" s="30"/>
      <c r="I39" s="30"/>
      <c r="J39" s="42">
        <v>0</v>
      </c>
      <c r="K39" s="159"/>
      <c r="L39" s="179"/>
      <c r="M39" s="42">
        <v>0</v>
      </c>
      <c r="N39" s="160"/>
      <c r="O39" s="50"/>
      <c r="P39" s="42">
        <v>0</v>
      </c>
      <c r="Q39" s="160"/>
      <c r="R39" s="50"/>
      <c r="S39" s="42">
        <f>SUM(J39:R39)</f>
        <v>0</v>
      </c>
      <c r="T39" s="6"/>
    </row>
    <row r="40" spans="1:20" ht="15.75">
      <c r="A40" s="21"/>
      <c r="B40" s="21"/>
      <c r="C40" s="27" t="s">
        <v>28</v>
      </c>
      <c r="D40" s="28"/>
      <c r="E40" s="28"/>
      <c r="F40" s="28"/>
      <c r="G40" s="28"/>
      <c r="H40" s="28"/>
      <c r="I40" s="28"/>
      <c r="J40" s="53">
        <f>SUM(J38:J39)</f>
        <v>0</v>
      </c>
      <c r="K40" s="162"/>
      <c r="L40" s="182"/>
      <c r="M40" s="53">
        <f>SUM(M38:M39)</f>
        <v>0</v>
      </c>
      <c r="N40" s="162"/>
      <c r="O40" s="48"/>
      <c r="P40" s="53">
        <f>SUM(P38:P39)</f>
        <v>0</v>
      </c>
      <c r="Q40" s="162"/>
      <c r="R40" s="48"/>
      <c r="S40" s="53">
        <f>SUM(J40:R40)</f>
        <v>0</v>
      </c>
      <c r="T40" s="29"/>
    </row>
    <row r="41" spans="1:20" ht="9" customHeight="1">
      <c r="A41" s="1"/>
      <c r="B41" s="1"/>
      <c r="C41" s="28"/>
      <c r="D41" s="26"/>
      <c r="E41" s="26"/>
      <c r="F41" s="26"/>
      <c r="G41" s="26"/>
      <c r="H41" s="26"/>
      <c r="I41" s="26"/>
      <c r="J41" s="52"/>
      <c r="K41" s="159"/>
      <c r="L41" s="179"/>
      <c r="M41" s="46"/>
      <c r="N41" s="159"/>
      <c r="O41" s="46"/>
      <c r="P41" s="46"/>
      <c r="Q41" s="159"/>
      <c r="R41" s="46"/>
      <c r="S41" s="46"/>
      <c r="T41" s="6"/>
    </row>
    <row r="42" spans="1:20" ht="15.75">
      <c r="A42" s="22" t="s">
        <v>29</v>
      </c>
      <c r="B42" s="22" t="s">
        <v>30</v>
      </c>
      <c r="C42" s="1"/>
      <c r="D42" s="21"/>
      <c r="E42" s="21"/>
      <c r="F42" s="21"/>
      <c r="G42" s="1"/>
      <c r="H42" s="1"/>
      <c r="I42" s="1"/>
      <c r="J42" s="54" t="s">
        <v>1</v>
      </c>
      <c r="K42" s="160"/>
      <c r="L42" s="180"/>
      <c r="M42" s="45" t="s">
        <v>1</v>
      </c>
      <c r="N42" s="160"/>
      <c r="O42" s="50"/>
      <c r="P42" s="45" t="s">
        <v>1</v>
      </c>
      <c r="Q42" s="160"/>
      <c r="R42" s="50"/>
      <c r="S42" s="45"/>
      <c r="T42" s="5"/>
    </row>
    <row r="43" spans="1:20" ht="15.75">
      <c r="A43" s="21"/>
      <c r="B43" s="21"/>
      <c r="C43" s="13" t="s">
        <v>31</v>
      </c>
      <c r="D43" s="10" t="s">
        <v>27</v>
      </c>
      <c r="E43" s="31"/>
      <c r="F43" s="31"/>
      <c r="J43" s="42">
        <v>0</v>
      </c>
      <c r="K43" s="160"/>
      <c r="L43" s="180"/>
      <c r="M43" s="42">
        <f>ROUND((J43*1.02),0)</f>
        <v>0</v>
      </c>
      <c r="N43" s="170"/>
      <c r="O43" s="150"/>
      <c r="P43" s="42">
        <f>ROUND((M43*1.02),0)</f>
        <v>0</v>
      </c>
      <c r="Q43" s="170"/>
      <c r="R43" s="150"/>
      <c r="S43" s="42">
        <f>SUM(J43:R43)</f>
        <v>0</v>
      </c>
      <c r="T43" s="5"/>
    </row>
    <row r="44" spans="1:20" ht="15.75">
      <c r="A44" s="21"/>
      <c r="B44" s="21"/>
      <c r="C44" s="13" t="s">
        <v>32</v>
      </c>
      <c r="D44" s="10" t="s">
        <v>27</v>
      </c>
      <c r="E44" s="31"/>
      <c r="F44" s="31"/>
      <c r="J44" s="42">
        <v>0</v>
      </c>
      <c r="K44" s="160"/>
      <c r="L44" s="180"/>
      <c r="M44" s="42">
        <f>ROUND((J44*1.02),0)</f>
        <v>0</v>
      </c>
      <c r="N44" s="170"/>
      <c r="O44" s="150"/>
      <c r="P44" s="42">
        <f>ROUND((M44*1.02),0)</f>
        <v>0</v>
      </c>
      <c r="Q44" s="170"/>
      <c r="R44" s="150"/>
      <c r="S44" s="42">
        <f>SUM(J44:R44)</f>
        <v>0</v>
      </c>
      <c r="T44" s="5"/>
    </row>
    <row r="45" spans="1:20" s="31" customFormat="1" ht="15.75">
      <c r="A45" s="21"/>
      <c r="B45" s="21"/>
      <c r="C45" s="27" t="s">
        <v>33</v>
      </c>
      <c r="D45" s="28"/>
      <c r="E45" s="28"/>
      <c r="F45" s="28"/>
      <c r="G45" s="28"/>
      <c r="H45" s="28"/>
      <c r="I45" s="28"/>
      <c r="J45" s="53">
        <f>SUM(J43:J44)</f>
        <v>0</v>
      </c>
      <c r="K45" s="162"/>
      <c r="L45" s="182"/>
      <c r="M45" s="55">
        <f>SUM(M43:M44)</f>
        <v>0</v>
      </c>
      <c r="N45" s="162"/>
      <c r="O45" s="48"/>
      <c r="P45" s="55">
        <f>SUM(P43:P44)</f>
        <v>0</v>
      </c>
      <c r="Q45" s="162"/>
      <c r="R45" s="48"/>
      <c r="S45" s="55">
        <f>SUM(J45:R45)</f>
        <v>0</v>
      </c>
      <c r="T45" s="29"/>
    </row>
    <row r="46" spans="1:20" ht="10.5" customHeight="1">
      <c r="A46" s="1"/>
      <c r="B46" s="1"/>
      <c r="C46" s="28"/>
      <c r="D46" s="26"/>
      <c r="E46" s="26"/>
      <c r="F46" s="26"/>
      <c r="G46" s="26"/>
      <c r="H46" s="26"/>
      <c r="I46" s="26"/>
      <c r="J46" s="52"/>
      <c r="K46" s="159"/>
      <c r="L46" s="179"/>
      <c r="M46" s="42"/>
      <c r="N46" s="159"/>
      <c r="O46" s="46"/>
      <c r="P46" s="42"/>
      <c r="Q46" s="159"/>
      <c r="R46" s="46"/>
      <c r="S46" s="42"/>
      <c r="T46" s="6"/>
    </row>
    <row r="47" spans="1:20" ht="15.75">
      <c r="A47" s="22" t="s">
        <v>34</v>
      </c>
      <c r="B47" s="22" t="s">
        <v>35</v>
      </c>
      <c r="C47" s="21"/>
      <c r="D47" s="21"/>
      <c r="E47" s="21"/>
      <c r="F47" s="21"/>
      <c r="G47" s="1"/>
      <c r="H47" s="1"/>
      <c r="I47" s="1"/>
      <c r="J47" s="54" t="s">
        <v>1</v>
      </c>
      <c r="K47" s="160"/>
      <c r="L47" s="180"/>
      <c r="M47" s="42" t="s">
        <v>1</v>
      </c>
      <c r="N47" s="160"/>
      <c r="O47" s="50"/>
      <c r="P47" s="42" t="s">
        <v>1</v>
      </c>
      <c r="Q47" s="160"/>
      <c r="R47" s="50"/>
      <c r="S47" s="42"/>
      <c r="T47" s="5"/>
    </row>
    <row r="48" spans="1:20" ht="15.75">
      <c r="A48" s="21"/>
      <c r="B48" s="21"/>
      <c r="C48" s="13" t="s">
        <v>36</v>
      </c>
      <c r="D48" s="3"/>
      <c r="E48" s="31"/>
      <c r="F48" s="31"/>
      <c r="J48" s="42">
        <v>0</v>
      </c>
      <c r="K48" s="160"/>
      <c r="L48" s="180"/>
      <c r="M48" s="42">
        <f>ROUND((J48*1.02),0)</f>
        <v>0</v>
      </c>
      <c r="N48" s="170"/>
      <c r="O48" s="150"/>
      <c r="P48" s="42">
        <f>ROUND((M48*1.02),0)</f>
        <v>0</v>
      </c>
      <c r="Q48" s="170"/>
      <c r="R48" s="150"/>
      <c r="S48" s="42">
        <f aca="true" t="shared" si="11" ref="S48:S59">SUM(J48:R48)</f>
        <v>0</v>
      </c>
      <c r="T48" s="5"/>
    </row>
    <row r="49" spans="1:20" ht="15.75">
      <c r="A49" s="21"/>
      <c r="B49" s="21"/>
      <c r="C49" s="13" t="s">
        <v>37</v>
      </c>
      <c r="D49" s="3"/>
      <c r="E49" s="31"/>
      <c r="F49" s="31"/>
      <c r="J49" s="42">
        <v>0</v>
      </c>
      <c r="K49" s="160"/>
      <c r="L49" s="180"/>
      <c r="M49" s="42">
        <f aca="true" t="shared" si="12" ref="M49:M54">ROUND((J49*1.02),0)</f>
        <v>0</v>
      </c>
      <c r="N49" s="170"/>
      <c r="O49" s="150"/>
      <c r="P49" s="42">
        <f aca="true" t="shared" si="13" ref="P49:P54">ROUND((M49*1.02),0)</f>
        <v>0</v>
      </c>
      <c r="Q49" s="170"/>
      <c r="R49" s="150"/>
      <c r="S49" s="42">
        <f t="shared" si="11"/>
        <v>0</v>
      </c>
      <c r="T49" s="5"/>
    </row>
    <row r="50" spans="1:20" ht="15.75">
      <c r="A50" s="21"/>
      <c r="B50" s="21"/>
      <c r="C50" s="13" t="s">
        <v>38</v>
      </c>
      <c r="D50" s="3"/>
      <c r="E50" s="31"/>
      <c r="F50" s="31"/>
      <c r="J50" s="42">
        <v>0</v>
      </c>
      <c r="K50" s="160"/>
      <c r="L50" s="180"/>
      <c r="M50" s="42">
        <f t="shared" si="12"/>
        <v>0</v>
      </c>
      <c r="N50" s="170"/>
      <c r="O50" s="150"/>
      <c r="P50" s="42">
        <f t="shared" si="13"/>
        <v>0</v>
      </c>
      <c r="Q50" s="171"/>
      <c r="R50" s="42"/>
      <c r="S50" s="42">
        <f t="shared" si="11"/>
        <v>0</v>
      </c>
      <c r="T50" s="5"/>
    </row>
    <row r="51" spans="1:20" ht="15.75">
      <c r="A51" s="21"/>
      <c r="B51" s="21"/>
      <c r="C51" s="13" t="s">
        <v>39</v>
      </c>
      <c r="D51" s="3"/>
      <c r="E51" s="31"/>
      <c r="F51" s="31"/>
      <c r="J51" s="42">
        <v>0</v>
      </c>
      <c r="K51" s="160"/>
      <c r="L51" s="180"/>
      <c r="M51" s="42">
        <f t="shared" si="12"/>
        <v>0</v>
      </c>
      <c r="N51" s="170"/>
      <c r="O51" s="150"/>
      <c r="P51" s="42">
        <f t="shared" si="13"/>
        <v>0</v>
      </c>
      <c r="Q51" s="170"/>
      <c r="R51" s="150"/>
      <c r="S51" s="42">
        <f t="shared" si="11"/>
        <v>0</v>
      </c>
      <c r="T51" s="5"/>
    </row>
    <row r="52" spans="1:20" ht="15.75">
      <c r="A52" s="21"/>
      <c r="B52" s="21"/>
      <c r="C52" s="245" t="s">
        <v>105</v>
      </c>
      <c r="D52" s="3"/>
      <c r="E52" s="31"/>
      <c r="F52" s="31"/>
      <c r="J52" s="42">
        <v>0</v>
      </c>
      <c r="K52" s="160"/>
      <c r="L52" s="180"/>
      <c r="M52" s="42">
        <f t="shared" si="12"/>
        <v>0</v>
      </c>
      <c r="N52" s="170"/>
      <c r="O52" s="150"/>
      <c r="P52" s="42">
        <f t="shared" si="13"/>
        <v>0</v>
      </c>
      <c r="Q52" s="170"/>
      <c r="R52" s="150"/>
      <c r="S52" s="42">
        <f t="shared" si="11"/>
        <v>0</v>
      </c>
      <c r="T52" s="5"/>
    </row>
    <row r="53" spans="1:20" ht="15.75">
      <c r="A53" s="21"/>
      <c r="B53" s="21"/>
      <c r="C53" s="13" t="s">
        <v>93</v>
      </c>
      <c r="D53" s="3"/>
      <c r="E53" s="31"/>
      <c r="F53" s="31"/>
      <c r="J53" s="42">
        <v>0</v>
      </c>
      <c r="K53" s="160"/>
      <c r="L53" s="180"/>
      <c r="M53" s="42">
        <f t="shared" si="12"/>
        <v>0</v>
      </c>
      <c r="N53" s="171"/>
      <c r="O53" s="42"/>
      <c r="P53" s="42">
        <f t="shared" si="13"/>
        <v>0</v>
      </c>
      <c r="Q53" s="171"/>
      <c r="R53" s="42"/>
      <c r="S53" s="42">
        <f t="shared" si="11"/>
        <v>0</v>
      </c>
      <c r="T53" s="5"/>
    </row>
    <row r="54" spans="1:20" ht="15.75">
      <c r="A54" s="21"/>
      <c r="B54" s="21"/>
      <c r="C54" s="13" t="s">
        <v>40</v>
      </c>
      <c r="D54" s="21"/>
      <c r="E54" s="21"/>
      <c r="F54" s="21"/>
      <c r="G54" s="1"/>
      <c r="H54" s="1"/>
      <c r="I54" s="1"/>
      <c r="J54" s="42">
        <v>0</v>
      </c>
      <c r="K54" s="160"/>
      <c r="L54" s="180"/>
      <c r="M54" s="42">
        <f t="shared" si="12"/>
        <v>0</v>
      </c>
      <c r="N54" s="171"/>
      <c r="O54" s="42"/>
      <c r="P54" s="42">
        <f t="shared" si="13"/>
        <v>0</v>
      </c>
      <c r="Q54" s="171"/>
      <c r="R54" s="42"/>
      <c r="S54" s="42">
        <f t="shared" si="11"/>
        <v>0</v>
      </c>
      <c r="T54" s="5"/>
    </row>
    <row r="55" spans="1:21" ht="15.75">
      <c r="A55" s="21"/>
      <c r="B55" s="21"/>
      <c r="C55" s="22" t="s">
        <v>41</v>
      </c>
      <c r="D55" s="10"/>
      <c r="E55" s="31"/>
      <c r="F55" s="31"/>
      <c r="J55" s="42">
        <v>0</v>
      </c>
      <c r="K55" s="160"/>
      <c r="L55" s="180"/>
      <c r="M55" s="42">
        <v>0</v>
      </c>
      <c r="N55" s="170"/>
      <c r="O55" s="150"/>
      <c r="P55" s="42">
        <v>0</v>
      </c>
      <c r="Q55" s="170"/>
      <c r="R55" s="150"/>
      <c r="S55" s="42">
        <f t="shared" si="11"/>
        <v>0</v>
      </c>
      <c r="T55" s="5"/>
      <c r="U55" s="76"/>
    </row>
    <row r="56" spans="1:21" ht="15.75">
      <c r="A56" s="21"/>
      <c r="B56" s="21"/>
      <c r="C56" s="63" t="s">
        <v>42</v>
      </c>
      <c r="D56" s="10"/>
      <c r="E56" s="31"/>
      <c r="F56" s="31"/>
      <c r="J56" s="42">
        <v>0</v>
      </c>
      <c r="K56" s="160"/>
      <c r="L56" s="180"/>
      <c r="M56" s="42">
        <v>0</v>
      </c>
      <c r="N56" s="170"/>
      <c r="O56" s="150"/>
      <c r="P56" s="42">
        <v>0</v>
      </c>
      <c r="Q56" s="170"/>
      <c r="R56" s="150"/>
      <c r="S56" s="42">
        <f t="shared" si="11"/>
        <v>0</v>
      </c>
      <c r="T56" s="5"/>
      <c r="U56" s="76"/>
    </row>
    <row r="57" spans="1:21" ht="15.75">
      <c r="A57" s="21"/>
      <c r="B57" s="21"/>
      <c r="C57" s="63" t="s">
        <v>97</v>
      </c>
      <c r="D57" s="10"/>
      <c r="E57" s="31"/>
      <c r="F57" s="31"/>
      <c r="J57" s="42">
        <v>0</v>
      </c>
      <c r="K57" s="160"/>
      <c r="L57" s="180"/>
      <c r="M57" s="42">
        <v>0</v>
      </c>
      <c r="N57" s="170"/>
      <c r="O57" s="150"/>
      <c r="P57" s="42">
        <v>0</v>
      </c>
      <c r="Q57" s="170"/>
      <c r="R57" s="150"/>
      <c r="S57" s="42">
        <f t="shared" si="11"/>
        <v>0</v>
      </c>
      <c r="T57" s="5"/>
      <c r="U57" s="76"/>
    </row>
    <row r="58" spans="1:21" ht="15.75">
      <c r="A58" s="21"/>
      <c r="B58" s="21"/>
      <c r="C58" s="63" t="s">
        <v>98</v>
      </c>
      <c r="D58" s="10"/>
      <c r="E58" s="31"/>
      <c r="F58" s="31"/>
      <c r="J58" s="42">
        <v>0</v>
      </c>
      <c r="K58" s="160"/>
      <c r="L58" s="180"/>
      <c r="M58" s="42">
        <v>0</v>
      </c>
      <c r="N58" s="170"/>
      <c r="O58" s="150"/>
      <c r="P58" s="42">
        <v>0</v>
      </c>
      <c r="Q58" s="170"/>
      <c r="R58" s="150"/>
      <c r="S58" s="42">
        <f t="shared" si="11"/>
        <v>0</v>
      </c>
      <c r="T58" s="5"/>
      <c r="U58" s="76"/>
    </row>
    <row r="59" spans="1:21" ht="15.75">
      <c r="A59" s="40" t="s">
        <v>43</v>
      </c>
      <c r="D59" s="28"/>
      <c r="E59" s="28"/>
      <c r="F59" s="28"/>
      <c r="G59" s="28"/>
      <c r="H59" s="28"/>
      <c r="I59" s="28"/>
      <c r="J59" s="51">
        <f>SUM(J48:J58)</f>
        <v>0</v>
      </c>
      <c r="K59" s="163"/>
      <c r="L59" s="183"/>
      <c r="M59" s="43">
        <f>SUM(M48:M58)</f>
        <v>0</v>
      </c>
      <c r="N59" s="163"/>
      <c r="O59" s="44"/>
      <c r="P59" s="43">
        <f>SUM(P48:P58)</f>
        <v>0</v>
      </c>
      <c r="Q59" s="163"/>
      <c r="R59" s="44"/>
      <c r="S59" s="43">
        <f t="shared" si="11"/>
        <v>0</v>
      </c>
      <c r="T59" s="34"/>
      <c r="U59" s="76"/>
    </row>
    <row r="60" spans="1:20" ht="7.5" customHeight="1">
      <c r="A60" s="21"/>
      <c r="B60" s="21"/>
      <c r="C60" s="26"/>
      <c r="D60" s="28"/>
      <c r="E60" s="28"/>
      <c r="F60" s="28"/>
      <c r="G60" s="26"/>
      <c r="H60" s="26"/>
      <c r="I60" s="26"/>
      <c r="J60" s="52"/>
      <c r="K60" s="159"/>
      <c r="L60" s="179"/>
      <c r="M60" s="46"/>
      <c r="N60" s="159"/>
      <c r="O60" s="46"/>
      <c r="P60" s="46"/>
      <c r="Q60" s="159"/>
      <c r="R60" s="46"/>
      <c r="S60" s="46" t="s">
        <v>1</v>
      </c>
      <c r="T60" s="6"/>
    </row>
    <row r="61" spans="1:20" ht="16.5">
      <c r="A61" s="28"/>
      <c r="B61" s="28"/>
      <c r="C61" s="28"/>
      <c r="D61" s="21"/>
      <c r="E61" s="32" t="s">
        <v>44</v>
      </c>
      <c r="F61" s="32"/>
      <c r="G61" s="39"/>
      <c r="H61" s="39"/>
      <c r="I61" s="39"/>
      <c r="J61" s="65">
        <f>ROUND(+J59+J45+J40+J35,0)</f>
        <v>0</v>
      </c>
      <c r="K61" s="164"/>
      <c r="L61" s="184"/>
      <c r="M61" s="65">
        <f>ROUND(+M59+M45+M40+M35,0)</f>
        <v>0</v>
      </c>
      <c r="N61" s="164"/>
      <c r="O61" s="65"/>
      <c r="P61" s="65">
        <f>ROUND(+P59+P45+P40+P35,0)</f>
        <v>0</v>
      </c>
      <c r="Q61" s="164"/>
      <c r="R61" s="65"/>
      <c r="S61" s="65">
        <f>SUM(J61:R61)</f>
        <v>0</v>
      </c>
      <c r="T61" s="34"/>
    </row>
    <row r="62" spans="1:19" ht="7.5" customHeight="1">
      <c r="A62" s="28"/>
      <c r="B62" s="28"/>
      <c r="C62" s="28"/>
      <c r="D62" s="21"/>
      <c r="E62" s="32"/>
      <c r="F62" s="32"/>
      <c r="G62" s="39"/>
      <c r="H62" s="39"/>
      <c r="I62" s="39"/>
      <c r="J62" s="66"/>
      <c r="K62" s="164"/>
      <c r="L62" s="184"/>
      <c r="M62" s="65"/>
      <c r="N62" s="172"/>
      <c r="O62" s="200"/>
      <c r="P62" s="65"/>
      <c r="Q62" s="172"/>
      <c r="R62" s="200"/>
      <c r="S62" s="65"/>
    </row>
    <row r="63" spans="1:21" ht="15.75">
      <c r="A63" s="28"/>
      <c r="B63" s="28"/>
      <c r="C63" s="28"/>
      <c r="D63" s="21"/>
      <c r="G63" s="39"/>
      <c r="H63" s="98" t="s">
        <v>124</v>
      </c>
      <c r="I63" s="39"/>
      <c r="J63" s="74">
        <f>(IF((J55)&gt;25000,(25000),J55)+((IF((J56)&gt;25000,(25000),J56))+((IF((J57)&gt;25000,(25000),J57))+((IF((J58)&gt;25000,(25000),J58))+SUM(J61-J40-J52-J55-J56-J57-J58-J53)))))</f>
        <v>0</v>
      </c>
      <c r="K63" s="165"/>
      <c r="L63" s="185"/>
      <c r="M63" s="74">
        <f>IF(J55&gt;=(25000),0,((IF((J55+M55)&lt;=(25000),M55,(25000-J55)))))+IF(J56&gt;=(25000),0,((IF((J56+M56)&lt;=(25000),M56,(25000-J56)))))+IF(J57&gt;=(25000),0,((IF((J57+M57)&lt;=(25000),M57,(25000-J57)))))+IF(J58&gt;=(25000),0,((IF((J58+M58)&lt;=(25000),M58,(25000-J58)))))+SUM(M61-M40-M52-M55-M56-M57-M58-M53)</f>
        <v>0</v>
      </c>
      <c r="N63" s="165"/>
      <c r="O63" s="201"/>
      <c r="P63" s="74">
        <f>IF(J55&gt;=(25000),0,(((IF((J55+M55)&gt;=(25000),0,((IF((J55+M55+P55)&lt;=(25000),P55,(25000-SUM(J55+M55))))))))))+IF(J56&gt;=(25000),0,(((IF((J56+M56)&gt;=(25000),0,((IF((J56+M56+P56)&lt;(25000),P56,(25000-SUM(J56+M56))))))))))+IF(J57&gt;=(25000),0,(((IF((J57+M57)&gt;=(25000),0,((IF((J57+M57+P57)&lt;(25000),P57,(25000-SUM(J57+M57))))))))))+IF(J58&gt;=(25000),0,(((IF((J58+M58)&gt;=(25000),0,((IF((J58+M58+P58)&lt;(25000),P58,(25000-SUM(J58+M58))))))))))+SUM(P61-P40-P52-P55-P56-P57-P58-P53)</f>
        <v>0</v>
      </c>
      <c r="Q63" s="165"/>
      <c r="R63" s="201"/>
      <c r="S63" s="74">
        <f>SUM(J63:R63)</f>
        <v>0</v>
      </c>
      <c r="U63" s="76"/>
    </row>
    <row r="64" spans="1:22" ht="15.75">
      <c r="A64" s="33" t="s">
        <v>123</v>
      </c>
      <c r="B64" s="1"/>
      <c r="C64" s="1"/>
      <c r="J64" s="42"/>
      <c r="K64" s="166"/>
      <c r="L64" s="186"/>
      <c r="M64" s="50"/>
      <c r="N64" s="166"/>
      <c r="O64" s="56"/>
      <c r="P64" s="50"/>
      <c r="Q64" s="166"/>
      <c r="R64" s="56"/>
      <c r="S64" s="50"/>
      <c r="T64" s="5"/>
      <c r="V64" s="75"/>
    </row>
    <row r="65" spans="1:20" ht="15.75">
      <c r="A65" s="13" t="s">
        <v>126</v>
      </c>
      <c r="B65" s="1"/>
      <c r="D65" s="7">
        <f>IF(AND(($E$76)="R",($E$78)="C"),('RATES-Fed'!E43),IF(AND(($E$76)="R",($E$78)="O"),('RATES-Fed'!E48),IF(AND(($E$76)="I",($E$78)="C"),('RATES-Fed'!E44),IF(AND(($E$76)="I",($E$78)="O"),('RATES-Fed'!E49),IF(AND(($E$76)="P",($E$78)="C"),('RATES-Fed'!E45),IF(AND(($E$76)="P",($E$78)="O"),('RATES-Fed'!E50),($E$77)))))))</f>
        <v>0.595</v>
      </c>
      <c r="E65" s="7">
        <f>IF(AND(($E$76)="R",($E$78)="C"),('RATES-Fed'!G43),IF(AND(($E$76)="R",($E$78)="O"),('RATES-Fed'!G48),IF(AND(($E$76)="I",($E$78)="C"),('RATES-Fed'!G44),IF(AND(($E$76)="I",($E$78)="O"),('RATES-Fed'!G49),IF(AND(($E$76)="P",($E$78)="C"),('RATES-Fed'!G45),IF(AND(($E$76)="P",($E$78)="O"),('RATES-Fed'!G50),($E$77)))))))</f>
        <v>0.6</v>
      </c>
      <c r="F65" s="7">
        <f>IF(AND(($E$76)="R",($E$78)="C"),('RATES-Fed'!I43),IF(AND(($E$76)="R",($E$78)="O"),('RATES-Fed'!I48),IF(AND(($E$76)="I",($E$78)="C"),('RATES-Fed'!I44),IF(AND(($E$76)="I",($E$78)="O"),('RATES-Fed'!I49),IF(AND(($E$76)="P",($E$78)="C"),('RATES-Fed'!I45),IF(AND(($E$76)="P",($E$78)="O"),('RATES-Fed'!I50),($E$77)))))))</f>
        <v>0.605</v>
      </c>
      <c r="G65" s="7"/>
      <c r="H65" s="7"/>
      <c r="J65" s="50">
        <f>ROUND(+D65*(J61-J40-J55-J56-J57-J58-J52-J53),0)</f>
        <v>0</v>
      </c>
      <c r="K65" s="160"/>
      <c r="L65" s="180"/>
      <c r="M65" s="50">
        <f>ROUND(+E65*(M61-M40-M55-M56-M57-M58-M52-M53),0)</f>
        <v>0</v>
      </c>
      <c r="N65" s="160"/>
      <c r="O65" s="50"/>
      <c r="P65" s="50">
        <f>ROUND(+F65*(P61-P40-P55-P56-P57-P58-P52-P53),0)</f>
        <v>0</v>
      </c>
      <c r="Q65" s="160"/>
      <c r="R65" s="50"/>
      <c r="S65" s="50">
        <f aca="true" t="shared" si="14" ref="S65:S70">SUM(J65:R65)</f>
        <v>0</v>
      </c>
      <c r="T65" s="5"/>
    </row>
    <row r="66" spans="1:20" ht="15.75">
      <c r="A66" s="13" t="s">
        <v>45</v>
      </c>
      <c r="D66" s="7">
        <f aca="true" t="shared" si="15" ref="D66:F68">+D65</f>
        <v>0.595</v>
      </c>
      <c r="E66" s="7">
        <f t="shared" si="15"/>
        <v>0.6</v>
      </c>
      <c r="F66" s="7">
        <f t="shared" si="15"/>
        <v>0.605</v>
      </c>
      <c r="G66" s="7"/>
      <c r="H66" s="7"/>
      <c r="J66" s="50">
        <f>(IF((J55)&gt;25000,(25000),J55)*D66)</f>
        <v>0</v>
      </c>
      <c r="K66" s="50"/>
      <c r="L66" s="50"/>
      <c r="M66" s="50">
        <f>IF(J55&gt;=(25000),0,((IF((J55+M55)&lt;=(25000),M55,(25000-J55))))*E66)</f>
        <v>0</v>
      </c>
      <c r="N66" s="284"/>
      <c r="O66" s="50"/>
      <c r="P66" s="50">
        <f>IF(J55&gt;=(25000),0,(((IF((J55+M55)&gt;=(25000),0,((IF((J55+M55+P55)&lt;=(25000),P55,(25000-SUM(J55+M55)))))))))*F66)</f>
        <v>0</v>
      </c>
      <c r="Q66" s="160"/>
      <c r="R66" s="50"/>
      <c r="S66" s="50">
        <f t="shared" si="14"/>
        <v>0</v>
      </c>
      <c r="T66" s="5"/>
    </row>
    <row r="67" spans="1:20" ht="15.75">
      <c r="A67" s="13" t="s">
        <v>46</v>
      </c>
      <c r="D67" s="7">
        <f t="shared" si="15"/>
        <v>0.595</v>
      </c>
      <c r="E67" s="7">
        <f t="shared" si="15"/>
        <v>0.6</v>
      </c>
      <c r="F67" s="7">
        <f t="shared" si="15"/>
        <v>0.605</v>
      </c>
      <c r="G67" s="7"/>
      <c r="H67" s="7"/>
      <c r="J67" s="50">
        <f>(IF((J56)&gt;25000,(25000),J56)*D67)</f>
        <v>0</v>
      </c>
      <c r="K67" s="284"/>
      <c r="L67" s="180"/>
      <c r="M67" s="50">
        <f>IF(J56&gt;=(25000),0,((IF((J56+M56)&lt;=(25000),M56,(25000-J56))))*E67)</f>
        <v>0</v>
      </c>
      <c r="N67" s="284"/>
      <c r="O67" s="50"/>
      <c r="P67" s="50">
        <f>IF(J56&gt;=(25000),0,(((IF((J56+M56)&gt;=(25000),0,((IF((J56+M56+P56)&lt;=(25000),P56,(25000-SUM(J56+M56)))))))))*F67)</f>
        <v>0</v>
      </c>
      <c r="Q67" s="160"/>
      <c r="R67" s="50"/>
      <c r="S67" s="50">
        <f>SUM(J67:R67)</f>
        <v>0</v>
      </c>
      <c r="T67" s="5"/>
    </row>
    <row r="68" spans="1:20" ht="15.75">
      <c r="A68" s="13" t="s">
        <v>95</v>
      </c>
      <c r="D68" s="7">
        <f t="shared" si="15"/>
        <v>0.595</v>
      </c>
      <c r="E68" s="7">
        <f t="shared" si="15"/>
        <v>0.6</v>
      </c>
      <c r="F68" s="7">
        <f t="shared" si="15"/>
        <v>0.605</v>
      </c>
      <c r="G68" s="7"/>
      <c r="H68" s="7"/>
      <c r="J68" s="50">
        <f>(IF((J57)&gt;25000,(25000),J57)*D68)</f>
        <v>0</v>
      </c>
      <c r="K68" s="284"/>
      <c r="L68" s="180"/>
      <c r="M68" s="50">
        <f>IF(J57&gt;=(25000),0,((IF((J57+M57)&lt;=(25000),M57,(25000-J57))))*E68)</f>
        <v>0</v>
      </c>
      <c r="N68" s="284"/>
      <c r="O68" s="50"/>
      <c r="P68" s="50">
        <f>IF(J57&gt;=(25000),0,(((IF((J57+M57)&gt;=(25000),0,((IF((J57+M57+P57)&lt;=(25000),P57,(25000-SUM(J57+M57)))))))))*F68)</f>
        <v>0</v>
      </c>
      <c r="Q68" s="160"/>
      <c r="R68" s="50"/>
      <c r="S68" s="50">
        <f t="shared" si="14"/>
        <v>0</v>
      </c>
      <c r="T68" s="5"/>
    </row>
    <row r="69" spans="1:20" ht="15.75">
      <c r="A69" s="13" t="s">
        <v>96</v>
      </c>
      <c r="B69" s="1"/>
      <c r="C69" s="1"/>
      <c r="D69" s="7">
        <f>+D66</f>
        <v>0.595</v>
      </c>
      <c r="E69" s="7">
        <f>+E66</f>
        <v>0.6</v>
      </c>
      <c r="F69" s="7">
        <f>+F66</f>
        <v>0.605</v>
      </c>
      <c r="G69" s="7"/>
      <c r="H69" s="7"/>
      <c r="J69" s="50">
        <f>(IF((J58)&gt;25000,(25000),J58)*D69)</f>
        <v>0</v>
      </c>
      <c r="K69" s="284"/>
      <c r="L69" s="180"/>
      <c r="M69" s="50">
        <f>IF(J58&gt;=(25000),0,((IF((J58+M58)&lt;=(25000),M58,(25000-J58))))*E69)</f>
        <v>0</v>
      </c>
      <c r="N69" s="284"/>
      <c r="O69" s="50"/>
      <c r="P69" s="50">
        <f>IF(J58&gt;=(25000),0,(((IF((J58+M58)&gt;=(25000),0,((IF((J58+M58+P58)&lt;=(25000),P58,(25000-SUM(J58+M58)))))))))*F69)</f>
        <v>0</v>
      </c>
      <c r="Q69" s="160"/>
      <c r="R69" s="50"/>
      <c r="S69" s="50">
        <f t="shared" si="14"/>
        <v>0</v>
      </c>
      <c r="T69" s="5"/>
    </row>
    <row r="70" spans="1:20" ht="15.75">
      <c r="A70" s="40" t="s">
        <v>125</v>
      </c>
      <c r="B70" s="1"/>
      <c r="C70" s="24"/>
      <c r="D70" s="35"/>
      <c r="E70" s="7"/>
      <c r="F70" s="7"/>
      <c r="G70" s="7"/>
      <c r="H70" s="7"/>
      <c r="I70" s="7"/>
      <c r="J70" s="53">
        <f>SUM(J65:J69)</f>
        <v>0</v>
      </c>
      <c r="K70" s="163"/>
      <c r="L70" s="183"/>
      <c r="M70" s="53">
        <f>SUM(M65:M69)</f>
        <v>0</v>
      </c>
      <c r="N70" s="163"/>
      <c r="O70" s="44"/>
      <c r="P70" s="53">
        <f>SUM(P65:P69)</f>
        <v>0</v>
      </c>
      <c r="Q70" s="163"/>
      <c r="R70" s="44"/>
      <c r="S70" s="53">
        <f t="shared" si="14"/>
        <v>0</v>
      </c>
      <c r="T70" s="5"/>
    </row>
    <row r="71" spans="1:20" ht="6.75" customHeight="1">
      <c r="A71" s="40"/>
      <c r="B71" s="1"/>
      <c r="C71" s="24"/>
      <c r="D71" s="35"/>
      <c r="E71" s="7"/>
      <c r="F71" s="7"/>
      <c r="G71" s="7"/>
      <c r="H71" s="7"/>
      <c r="I71" s="7"/>
      <c r="J71" s="61"/>
      <c r="K71" s="163"/>
      <c r="L71" s="183"/>
      <c r="M71" s="62"/>
      <c r="N71" s="163"/>
      <c r="O71" s="44"/>
      <c r="P71" s="62"/>
      <c r="Q71" s="163"/>
      <c r="R71" s="44"/>
      <c r="S71" s="62"/>
      <c r="T71" s="5"/>
    </row>
    <row r="72" spans="1:20" ht="19.5" thickBot="1">
      <c r="A72" s="40"/>
      <c r="B72" s="1"/>
      <c r="C72" s="60" t="s">
        <v>47</v>
      </c>
      <c r="D72" s="35"/>
      <c r="E72" s="7"/>
      <c r="F72" s="7"/>
      <c r="G72" s="7"/>
      <c r="H72" s="7"/>
      <c r="I72" s="7"/>
      <c r="J72" s="72">
        <f>J70+J61</f>
        <v>0</v>
      </c>
      <c r="K72" s="164"/>
      <c r="L72" s="184"/>
      <c r="M72" s="72">
        <f>M70+M61</f>
        <v>0</v>
      </c>
      <c r="N72" s="164"/>
      <c r="O72" s="65"/>
      <c r="P72" s="72">
        <f>P70+P61</f>
        <v>0</v>
      </c>
      <c r="Q72" s="164"/>
      <c r="R72" s="65"/>
      <c r="S72" s="72">
        <f>SUM(J72:R72)</f>
        <v>0</v>
      </c>
      <c r="T72" s="5"/>
    </row>
    <row r="73" spans="1:20" ht="8.25" customHeight="1" thickTop="1">
      <c r="A73" s="28"/>
      <c r="B73" s="1"/>
      <c r="C73" s="35"/>
      <c r="D73" s="7"/>
      <c r="E73" s="7"/>
      <c r="F73" s="7"/>
      <c r="G73" s="7"/>
      <c r="H73" s="7"/>
      <c r="I73" s="7"/>
      <c r="J73" s="50"/>
      <c r="K73" s="160"/>
      <c r="L73" s="180"/>
      <c r="M73" s="50"/>
      <c r="N73" s="160"/>
      <c r="O73" s="50"/>
      <c r="P73" s="50"/>
      <c r="Q73" s="160"/>
      <c r="R73" s="50"/>
      <c r="S73" s="50" t="s">
        <v>1</v>
      </c>
      <c r="T73" s="5"/>
    </row>
    <row r="74" spans="1:20" ht="9" customHeight="1">
      <c r="A74" s="1"/>
      <c r="B74" s="1"/>
      <c r="C74" s="1"/>
      <c r="D74" s="1"/>
      <c r="E74" s="1"/>
      <c r="F74" s="1"/>
      <c r="G74" s="1"/>
      <c r="H74" s="1"/>
      <c r="I74" s="1"/>
      <c r="J74" s="49"/>
      <c r="K74" s="167"/>
      <c r="L74" s="187"/>
      <c r="M74" s="58"/>
      <c r="N74" s="167"/>
      <c r="O74" s="57"/>
      <c r="P74" s="58"/>
      <c r="Q74" s="167"/>
      <c r="R74" s="57"/>
      <c r="S74" s="58"/>
      <c r="T74" s="1"/>
    </row>
    <row r="75" ht="15.75">
      <c r="C75" s="36" t="s">
        <v>127</v>
      </c>
    </row>
    <row r="76" spans="3:7" ht="15.75">
      <c r="C76" s="14" t="s">
        <v>48</v>
      </c>
      <c r="E76" s="15" t="s">
        <v>49</v>
      </c>
      <c r="G76" s="14" t="s">
        <v>50</v>
      </c>
    </row>
    <row r="77" spans="3:6" ht="15.75">
      <c r="C77" s="14" t="s">
        <v>206</v>
      </c>
      <c r="E77" s="9">
        <v>0.1</v>
      </c>
      <c r="F77" s="9"/>
    </row>
    <row r="78" spans="3:7" ht="15.75">
      <c r="C78" s="14" t="s">
        <v>51</v>
      </c>
      <c r="E78" s="175" t="s">
        <v>52</v>
      </c>
      <c r="G78" s="14" t="s">
        <v>53</v>
      </c>
    </row>
    <row r="80" spans="4:16" ht="15.75">
      <c r="D80" s="228" t="s">
        <v>235</v>
      </c>
      <c r="H80" s="226">
        <f>+'RATES-Fed'!E29</f>
        <v>0.595</v>
      </c>
      <c r="J80" s="225">
        <f>J70/12*'RATES-Fed'!$C$43</f>
        <v>0</v>
      </c>
      <c r="L80" s="226">
        <f>+'RATES-Fed'!G29</f>
        <v>0.6</v>
      </c>
      <c r="M80" s="225">
        <f>M70/12*'RATES-Fed'!$C$43</f>
        <v>0</v>
      </c>
      <c r="O80" s="227">
        <f>+'RATES-Fed'!I29</f>
        <v>0.605</v>
      </c>
      <c r="P80" s="225">
        <f>P70/12*'RATES-Fed'!$C$43</f>
        <v>0</v>
      </c>
    </row>
    <row r="81" spans="4:16" ht="15.75">
      <c r="D81" s="298" t="s">
        <v>236</v>
      </c>
      <c r="E81" s="298"/>
      <c r="F81" s="298"/>
      <c r="G81" s="298"/>
      <c r="H81" s="226">
        <f>+'RATES-Fed'!G29</f>
        <v>0.6</v>
      </c>
      <c r="J81" s="225">
        <f>J70/12*'RATES-Fed'!$D$43</f>
        <v>0</v>
      </c>
      <c r="L81" s="226">
        <f>+'RATES-Fed'!I29</f>
        <v>0.605</v>
      </c>
      <c r="M81" s="225">
        <f>M70/12*'RATES-Fed'!$D$43</f>
        <v>0</v>
      </c>
      <c r="O81" s="227">
        <f>+'RATES-Fed'!K29</f>
        <v>0.605</v>
      </c>
      <c r="P81" s="225">
        <f>P70/12*'RATES-Fed'!$D$43</f>
        <v>0</v>
      </c>
    </row>
    <row r="82" spans="4:19" ht="18.75">
      <c r="D82" s="298"/>
      <c r="E82" s="298"/>
      <c r="F82" s="298"/>
      <c r="G82" s="298"/>
      <c r="J82" s="225">
        <f>SUM(J80:J81)</f>
        <v>0</v>
      </c>
      <c r="M82" s="225">
        <f>SUM(M80:M81)</f>
        <v>0</v>
      </c>
      <c r="P82" s="225">
        <f>SUM(P80:P81)</f>
        <v>0</v>
      </c>
      <c r="Q82" s="309">
        <f>'RATES-Fed'!Q64</f>
        <v>0</v>
      </c>
      <c r="R82" s="309"/>
      <c r="S82" s="309"/>
    </row>
  </sheetData>
  <sheetProtection/>
  <mergeCells count="6">
    <mergeCell ref="K4:R5"/>
    <mergeCell ref="J8:L8"/>
    <mergeCell ref="M8:O8"/>
    <mergeCell ref="P8:R8"/>
    <mergeCell ref="Q82:S82"/>
    <mergeCell ref="D81:G82"/>
  </mergeCells>
  <dataValidations count="1">
    <dataValidation type="list" allowBlank="1" showInputMessage="1" showErrorMessage="1" sqref="D11 D13 D15 D17:D18">
      <formula1>APPTS</formula1>
    </dataValidation>
  </dataValidations>
  <hyperlinks>
    <hyperlink ref="C52" r:id="rId1" display="UC Tuition rates (Not Subject to Indirect)"/>
  </hyperlinks>
  <printOptions/>
  <pageMargins left="0.5" right="0.3" top="0.5" bottom="0.5" header="0.5" footer="0.5"/>
  <pageSetup fitToHeight="1" fitToWidth="1" horizontalDpi="300" verticalDpi="300" orientation="landscape" scale="46" r:id="rId4"/>
  <legacyDrawing r:id="rId3"/>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Y82"/>
  <sheetViews>
    <sheetView showGridLines="0" zoomScale="75" zoomScaleNormal="75" workbookViewId="0" topLeftCell="A1">
      <selection activeCell="A1" sqref="A1"/>
    </sheetView>
  </sheetViews>
  <sheetFormatPr defaultColWidth="9.625" defaultRowHeight="15.75"/>
  <cols>
    <col min="1" max="2" width="2.625" style="0" customWidth="1"/>
    <col min="3" max="3" width="20.50390625" style="0" customWidth="1"/>
    <col min="4" max="4" width="16.125" style="0" customWidth="1"/>
    <col min="5" max="6" width="7.625" style="0" customWidth="1"/>
    <col min="7" max="7" width="9.875" style="0" customWidth="1"/>
    <col min="8" max="8" width="7.25390625" style="0" customWidth="1"/>
    <col min="9" max="9" width="7.25390625" style="0" hidden="1" customWidth="1"/>
    <col min="10" max="10" width="13.75390625" style="0" customWidth="1"/>
    <col min="11" max="11" width="8.125" style="168" bestFit="1" customWidth="1"/>
    <col min="12" max="12" width="10.125" style="188" bestFit="1" customWidth="1"/>
    <col min="13" max="13" width="11.25390625" style="0" customWidth="1"/>
    <col min="14" max="14" width="9.25390625" style="168" bestFit="1" customWidth="1"/>
    <col min="15" max="15" width="9.50390625" style="96" bestFit="1" customWidth="1"/>
    <col min="16" max="16" width="11.25390625" style="0" customWidth="1"/>
    <col min="17" max="17" width="9.25390625" style="168" bestFit="1" customWidth="1"/>
    <col min="18" max="18" width="8.75390625" style="96" bestFit="1" customWidth="1"/>
    <col min="19" max="19" width="11.25390625" style="0" customWidth="1"/>
    <col min="20" max="20" width="9.25390625" style="168" bestFit="1" customWidth="1"/>
    <col min="21" max="21" width="8.75390625" style="96" bestFit="1" customWidth="1"/>
    <col min="22" max="22" width="14.625" style="0" customWidth="1"/>
    <col min="23" max="23" width="2.625" style="0" customWidth="1"/>
  </cols>
  <sheetData>
    <row r="1" spans="1:21" ht="18.75">
      <c r="A1" s="17" t="s">
        <v>0</v>
      </c>
      <c r="B1" s="18"/>
      <c r="C1" s="18"/>
      <c r="D1" s="18"/>
      <c r="E1" s="18"/>
      <c r="F1" s="18"/>
      <c r="G1" s="18"/>
      <c r="H1" s="18"/>
      <c r="I1" s="18"/>
      <c r="J1" s="19"/>
      <c r="K1" s="154"/>
      <c r="L1" s="176"/>
      <c r="M1" s="37"/>
      <c r="N1" s="169"/>
      <c r="O1" s="199"/>
      <c r="P1" s="37"/>
      <c r="Q1" s="169"/>
      <c r="R1" s="199"/>
      <c r="S1" s="37"/>
      <c r="T1" s="169"/>
      <c r="U1" s="199"/>
    </row>
    <row r="2" spans="1:22" ht="18.75">
      <c r="A2" s="17" t="s">
        <v>215</v>
      </c>
      <c r="B2" s="18"/>
      <c r="C2" s="18"/>
      <c r="D2" s="18"/>
      <c r="E2" s="18"/>
      <c r="F2" s="18"/>
      <c r="G2" s="18"/>
      <c r="H2" s="18"/>
      <c r="I2" s="18"/>
      <c r="J2" s="19"/>
      <c r="K2" s="154"/>
      <c r="L2" s="176"/>
      <c r="M2" s="37"/>
      <c r="N2" s="169"/>
      <c r="O2" s="199"/>
      <c r="P2" s="37"/>
      <c r="Q2" s="169"/>
      <c r="R2" s="199"/>
      <c r="S2" s="37"/>
      <c r="T2" s="169"/>
      <c r="U2" s="199"/>
      <c r="V2" s="37"/>
    </row>
    <row r="3" spans="1:22" ht="9.75" customHeight="1">
      <c r="A3" s="10" t="s">
        <v>1</v>
      </c>
      <c r="B3" s="1"/>
      <c r="J3" s="11" t="s">
        <v>1</v>
      </c>
      <c r="K3" s="155"/>
      <c r="L3" s="177"/>
      <c r="M3" s="8"/>
      <c r="P3" s="8"/>
      <c r="S3" s="8"/>
      <c r="V3" s="8"/>
    </row>
    <row r="4" spans="1:22" ht="15.75">
      <c r="A4" s="22" t="s">
        <v>2</v>
      </c>
      <c r="B4" s="1"/>
      <c r="D4" s="10" t="s">
        <v>72</v>
      </c>
      <c r="G4" s="3"/>
      <c r="J4" s="20" t="s">
        <v>3</v>
      </c>
      <c r="K4" s="299" t="s">
        <v>72</v>
      </c>
      <c r="L4" s="300"/>
      <c r="M4" s="301"/>
      <c r="N4" s="301"/>
      <c r="O4" s="301"/>
      <c r="P4" s="301"/>
      <c r="Q4" s="301"/>
      <c r="R4" s="301"/>
      <c r="S4" s="301"/>
      <c r="T4" s="301"/>
      <c r="U4" s="302"/>
      <c r="V4" s="8"/>
    </row>
    <row r="5" spans="1:22" ht="18.75">
      <c r="A5" s="22" t="s">
        <v>4</v>
      </c>
      <c r="B5" s="1"/>
      <c r="D5" s="10" t="s">
        <v>72</v>
      </c>
      <c r="E5" s="3"/>
      <c r="F5" s="3"/>
      <c r="H5" s="2"/>
      <c r="I5" s="2"/>
      <c r="J5" s="38"/>
      <c r="K5" s="303"/>
      <c r="L5" s="304"/>
      <c r="M5" s="304"/>
      <c r="N5" s="304"/>
      <c r="O5" s="304"/>
      <c r="P5" s="304"/>
      <c r="Q5" s="304"/>
      <c r="R5" s="304"/>
      <c r="S5" s="304"/>
      <c r="T5" s="304"/>
      <c r="U5" s="305"/>
      <c r="V5" s="8"/>
    </row>
    <row r="6" spans="1:22" ht="15.75">
      <c r="A6" s="14"/>
      <c r="B6" s="22" t="s">
        <v>5</v>
      </c>
      <c r="D6" s="73">
        <f>'RATES-Fed'!E2</f>
        <v>42917</v>
      </c>
      <c r="E6" s="12" t="s">
        <v>6</v>
      </c>
      <c r="F6" s="12"/>
      <c r="G6" s="73">
        <f>'RATES-Fed'!G2</f>
        <v>44742</v>
      </c>
      <c r="H6" s="4"/>
      <c r="I6" s="4"/>
      <c r="J6" s="2"/>
      <c r="K6" s="156"/>
      <c r="L6" s="178"/>
      <c r="M6" s="3"/>
      <c r="N6" s="156"/>
      <c r="O6" s="151"/>
      <c r="P6" s="3"/>
      <c r="Q6" s="156"/>
      <c r="R6" s="151"/>
      <c r="S6" s="3"/>
      <c r="T6" s="156"/>
      <c r="U6" s="151"/>
      <c r="V6" s="8"/>
    </row>
    <row r="7" spans="5:23" ht="7.5" customHeight="1">
      <c r="E7" s="3"/>
      <c r="F7" s="3"/>
      <c r="G7" s="1"/>
      <c r="H7" s="1"/>
      <c r="I7" s="1"/>
      <c r="J7" s="16" t="s">
        <v>1</v>
      </c>
      <c r="K7" s="155"/>
      <c r="L7" s="177"/>
      <c r="M7" s="8"/>
      <c r="N7" s="155"/>
      <c r="O7" s="145"/>
      <c r="P7" s="8"/>
      <c r="Q7" s="155"/>
      <c r="R7" s="145"/>
      <c r="S7" s="8"/>
      <c r="T7" s="155"/>
      <c r="U7" s="145"/>
      <c r="V7" s="8"/>
      <c r="W7" s="1"/>
    </row>
    <row r="8" spans="1:23" ht="15.75">
      <c r="A8" s="21"/>
      <c r="B8" s="21"/>
      <c r="C8" s="21"/>
      <c r="D8" s="21"/>
      <c r="E8" s="21"/>
      <c r="F8" s="21"/>
      <c r="G8" s="21"/>
      <c r="H8" s="21"/>
      <c r="I8" s="21"/>
      <c r="J8" s="288" t="s">
        <v>22</v>
      </c>
      <c r="K8" s="289"/>
      <c r="L8" s="290"/>
      <c r="M8" s="306" t="s">
        <v>55</v>
      </c>
      <c r="N8" s="307"/>
      <c r="O8" s="308"/>
      <c r="P8" s="306" t="s">
        <v>57</v>
      </c>
      <c r="Q8" s="307"/>
      <c r="R8" s="308"/>
      <c r="S8" s="306" t="s">
        <v>59</v>
      </c>
      <c r="T8" s="307"/>
      <c r="U8" s="308"/>
      <c r="V8" s="174" t="s">
        <v>8</v>
      </c>
      <c r="W8" s="21"/>
    </row>
    <row r="9" spans="1:23" s="149" customFormat="1" ht="15.75">
      <c r="A9" s="147" t="s">
        <v>9</v>
      </c>
      <c r="B9" s="147" t="s">
        <v>10</v>
      </c>
      <c r="C9" s="147"/>
      <c r="D9" s="147"/>
      <c r="E9" s="147"/>
      <c r="F9" s="147"/>
      <c r="G9" s="147"/>
      <c r="H9" s="147"/>
      <c r="I9" s="147"/>
      <c r="J9" s="192" t="s">
        <v>211</v>
      </c>
      <c r="K9" s="157" t="s">
        <v>212</v>
      </c>
      <c r="L9" s="147" t="s">
        <v>213</v>
      </c>
      <c r="M9" s="198" t="s">
        <v>211</v>
      </c>
      <c r="N9" s="157" t="s">
        <v>212</v>
      </c>
      <c r="O9" s="147" t="s">
        <v>213</v>
      </c>
      <c r="P9" s="198" t="s">
        <v>211</v>
      </c>
      <c r="Q9" s="157" t="s">
        <v>212</v>
      </c>
      <c r="R9" s="147" t="s">
        <v>213</v>
      </c>
      <c r="S9" s="198" t="s">
        <v>211</v>
      </c>
      <c r="T9" s="157" t="s">
        <v>212</v>
      </c>
      <c r="U9" s="147" t="s">
        <v>213</v>
      </c>
      <c r="V9" s="148"/>
      <c r="W9" s="147"/>
    </row>
    <row r="10" spans="1:23" ht="15.75">
      <c r="A10" s="1"/>
      <c r="B10" s="23" t="s">
        <v>11</v>
      </c>
      <c r="C10" s="24"/>
      <c r="D10" s="24" t="s">
        <v>104</v>
      </c>
      <c r="E10" s="1" t="s">
        <v>12</v>
      </c>
      <c r="F10" s="41" t="s">
        <v>130</v>
      </c>
      <c r="G10" s="41" t="s">
        <v>13</v>
      </c>
      <c r="H10" s="1"/>
      <c r="I10" s="1"/>
      <c r="J10" s="193"/>
      <c r="K10" s="155"/>
      <c r="L10" s="145"/>
      <c r="M10" s="193"/>
      <c r="N10" s="155"/>
      <c r="O10" s="145"/>
      <c r="P10" s="193"/>
      <c r="Q10" s="155"/>
      <c r="R10" s="145"/>
      <c r="S10" s="193"/>
      <c r="T10" s="155"/>
      <c r="U10" s="145"/>
      <c r="V10" s="2">
        <f>IF(SUM(J10:N10)=0,"",SUM(J10:N10))</f>
      </c>
      <c r="W10" s="1"/>
    </row>
    <row r="11" spans="1:23" ht="15.75">
      <c r="A11" s="1"/>
      <c r="B11" s="1" t="s">
        <v>14</v>
      </c>
      <c r="C11" s="10" t="str">
        <f>D5</f>
        <v>name</v>
      </c>
      <c r="D11" s="142" t="s">
        <v>132</v>
      </c>
      <c r="E11" s="70">
        <v>0</v>
      </c>
      <c r="F11" s="101">
        <f aca="true" t="shared" si="0" ref="F11:F18">IF(D11="CAL",(52*E11/4.3333),(IF(D11="ACAD",(32*E11/4.33333),IF(D11="SUMR",(14*E11/4.33333),IF(D11="PT",(0),0)))))</f>
        <v>0</v>
      </c>
      <c r="G11" s="69">
        <v>0</v>
      </c>
      <c r="J11" s="190">
        <f>ROUND(G11*E11,0)</f>
        <v>0</v>
      </c>
      <c r="K11" s="158">
        <f>ROUND(J11*'RATES-Fed'!E36,0)</f>
        <v>0</v>
      </c>
      <c r="L11" s="67">
        <f>ROUND(K11+J11,0)</f>
        <v>0</v>
      </c>
      <c r="M11" s="190">
        <f>ROUND((J11*1.02),0)</f>
        <v>0</v>
      </c>
      <c r="N11" s="158">
        <f>ROUND(M11*'RATES-Fed'!G36,0)</f>
        <v>0</v>
      </c>
      <c r="O11" s="67">
        <f aca="true" t="shared" si="1" ref="O11:O18">ROUND(M11+N11,0)</f>
        <v>0</v>
      </c>
      <c r="P11" s="190">
        <f>ROUND((M11*1.02),0)</f>
        <v>0</v>
      </c>
      <c r="Q11" s="158">
        <f>ROUND(P11*'RATES-Fed'!I36,0)</f>
        <v>0</v>
      </c>
      <c r="R11" s="67">
        <f>SUM(P11:Q11)</f>
        <v>0</v>
      </c>
      <c r="S11" s="190">
        <f>ROUND((P11*1.02),0)</f>
        <v>0</v>
      </c>
      <c r="T11" s="158">
        <f>ROUND(S11*'RATES-Fed'!K36,0)</f>
        <v>0</v>
      </c>
      <c r="U11" s="67">
        <f>SUM(S11:T11)</f>
        <v>0</v>
      </c>
      <c r="V11" s="42">
        <f>SUM(L11+O11+R11+U11)</f>
        <v>0</v>
      </c>
      <c r="W11" s="1"/>
    </row>
    <row r="12" spans="1:23" ht="15.75">
      <c r="A12" s="1"/>
      <c r="B12" s="1" t="s">
        <v>14</v>
      </c>
      <c r="C12" s="3"/>
      <c r="D12" s="142" t="str">
        <f>IF(D11="ACAD",("SUMR"),"")</f>
        <v>SUMR</v>
      </c>
      <c r="E12" s="70">
        <v>0</v>
      </c>
      <c r="F12" s="101">
        <f t="shared" si="0"/>
        <v>0</v>
      </c>
      <c r="G12" s="69">
        <f>+G11*0.4375</f>
        <v>0</v>
      </c>
      <c r="J12" s="190">
        <f aca="true" t="shared" si="2" ref="J12:J18">ROUND(G12*E12,0)</f>
        <v>0</v>
      </c>
      <c r="K12" s="158">
        <f>ROUND(J12*'RATES-Fed'!E36,0)</f>
        <v>0</v>
      </c>
      <c r="L12" s="67">
        <f aca="true" t="shared" si="3" ref="L12:L18">ROUND(K12+J12,0)</f>
        <v>0</v>
      </c>
      <c r="M12" s="190">
        <f aca="true" t="shared" si="4" ref="M12:M18">ROUND((J12*1.02),0)</f>
        <v>0</v>
      </c>
      <c r="N12" s="158">
        <f>ROUND(M12*'RATES-Fed'!G36,0)</f>
        <v>0</v>
      </c>
      <c r="O12" s="67">
        <f t="shared" si="1"/>
        <v>0</v>
      </c>
      <c r="P12" s="190">
        <f aca="true" t="shared" si="5" ref="P12:P18">ROUND((M12*1.02),0)</f>
        <v>0</v>
      </c>
      <c r="Q12" s="158">
        <f>ROUND(P12*'RATES-Fed'!I36,0)</f>
        <v>0</v>
      </c>
      <c r="R12" s="67">
        <f aca="true" t="shared" si="6" ref="R12:R18">SUM(P12:Q12)</f>
        <v>0</v>
      </c>
      <c r="S12" s="190">
        <f aca="true" t="shared" si="7" ref="S12:S18">ROUND((P12*1.02),0)</f>
        <v>0</v>
      </c>
      <c r="T12" s="158">
        <f>ROUND(S12*'RATES-Fed'!K36,0)</f>
        <v>0</v>
      </c>
      <c r="U12" s="67">
        <f aca="true" t="shared" si="8" ref="U12:U18">SUM(S12:T12)</f>
        <v>0</v>
      </c>
      <c r="V12" s="42">
        <f aca="true" t="shared" si="9" ref="V12:V18">SUM(L12+O12+R12+U12)</f>
        <v>0</v>
      </c>
      <c r="W12" s="1"/>
    </row>
    <row r="13" spans="1:23" ht="15.75">
      <c r="A13" s="1"/>
      <c r="B13" s="1" t="s">
        <v>15</v>
      </c>
      <c r="C13" s="3"/>
      <c r="D13" s="142" t="s">
        <v>132</v>
      </c>
      <c r="E13" s="70">
        <v>0</v>
      </c>
      <c r="F13" s="101">
        <f t="shared" si="0"/>
        <v>0</v>
      </c>
      <c r="G13" s="69">
        <v>0</v>
      </c>
      <c r="J13" s="190">
        <f t="shared" si="2"/>
        <v>0</v>
      </c>
      <c r="K13" s="158">
        <f>ROUND(J13*'RATES-Fed'!E36,0)</f>
        <v>0</v>
      </c>
      <c r="L13" s="67">
        <f t="shared" si="3"/>
        <v>0</v>
      </c>
      <c r="M13" s="190">
        <f t="shared" si="4"/>
        <v>0</v>
      </c>
      <c r="N13" s="158">
        <f>ROUND(M13*'RATES-Fed'!G36,0)</f>
        <v>0</v>
      </c>
      <c r="O13" s="67">
        <f t="shared" si="1"/>
        <v>0</v>
      </c>
      <c r="P13" s="190">
        <f t="shared" si="5"/>
        <v>0</v>
      </c>
      <c r="Q13" s="158">
        <f>ROUND(P13*'RATES-Fed'!I36,0)</f>
        <v>0</v>
      </c>
      <c r="R13" s="67">
        <f t="shared" si="6"/>
        <v>0</v>
      </c>
      <c r="S13" s="190">
        <f t="shared" si="7"/>
        <v>0</v>
      </c>
      <c r="T13" s="158">
        <f>ROUND(S13*'RATES-Fed'!K36,0)</f>
        <v>0</v>
      </c>
      <c r="U13" s="67">
        <f t="shared" si="8"/>
        <v>0</v>
      </c>
      <c r="V13" s="42">
        <f t="shared" si="9"/>
        <v>0</v>
      </c>
      <c r="W13" s="1"/>
    </row>
    <row r="14" spans="1:22" ht="15.75">
      <c r="A14" s="1"/>
      <c r="B14" s="1"/>
      <c r="C14" s="3"/>
      <c r="D14" s="142" t="str">
        <f>IF(D13="ACAD",("SUMR"),"")</f>
        <v>SUMR</v>
      </c>
      <c r="E14" s="70">
        <v>0</v>
      </c>
      <c r="F14" s="101">
        <f t="shared" si="0"/>
        <v>0</v>
      </c>
      <c r="G14" s="69">
        <f>+G13*0.4375</f>
        <v>0</v>
      </c>
      <c r="J14" s="190">
        <f t="shared" si="2"/>
        <v>0</v>
      </c>
      <c r="K14" s="158">
        <f>ROUND(J14*'RATES-Fed'!E36,0)</f>
        <v>0</v>
      </c>
      <c r="L14" s="67">
        <f t="shared" si="3"/>
        <v>0</v>
      </c>
      <c r="M14" s="190">
        <f t="shared" si="4"/>
        <v>0</v>
      </c>
      <c r="N14" s="158">
        <f>ROUND(M14*'RATES-Fed'!G36,0)</f>
        <v>0</v>
      </c>
      <c r="O14" s="67">
        <f t="shared" si="1"/>
        <v>0</v>
      </c>
      <c r="P14" s="190">
        <f t="shared" si="5"/>
        <v>0</v>
      </c>
      <c r="Q14" s="158">
        <f>ROUND(P14*'RATES-Fed'!I36,0)</f>
        <v>0</v>
      </c>
      <c r="R14" s="67">
        <f t="shared" si="6"/>
        <v>0</v>
      </c>
      <c r="S14" s="190">
        <f t="shared" si="7"/>
        <v>0</v>
      </c>
      <c r="T14" s="158">
        <f>ROUND(S14*'RATES-Fed'!K36,0)</f>
        <v>0</v>
      </c>
      <c r="U14" s="67">
        <f t="shared" si="8"/>
        <v>0</v>
      </c>
      <c r="V14" s="42">
        <f t="shared" si="9"/>
        <v>0</v>
      </c>
    </row>
    <row r="15" spans="1:23" ht="15.75">
      <c r="A15" s="1"/>
      <c r="B15" s="1" t="s">
        <v>15</v>
      </c>
      <c r="C15" s="3"/>
      <c r="D15" s="142" t="s">
        <v>132</v>
      </c>
      <c r="E15" s="70">
        <v>0</v>
      </c>
      <c r="F15" s="101">
        <f t="shared" si="0"/>
        <v>0</v>
      </c>
      <c r="G15" s="69">
        <v>0</v>
      </c>
      <c r="J15" s="190">
        <f t="shared" si="2"/>
        <v>0</v>
      </c>
      <c r="K15" s="158">
        <f>ROUND(J15*'RATES-Fed'!E36,0)</f>
        <v>0</v>
      </c>
      <c r="L15" s="67">
        <f t="shared" si="3"/>
        <v>0</v>
      </c>
      <c r="M15" s="190">
        <f t="shared" si="4"/>
        <v>0</v>
      </c>
      <c r="N15" s="158">
        <f>ROUND(M15*'RATES-Fed'!G36,0)</f>
        <v>0</v>
      </c>
      <c r="O15" s="67">
        <f t="shared" si="1"/>
        <v>0</v>
      </c>
      <c r="P15" s="190">
        <f t="shared" si="5"/>
        <v>0</v>
      </c>
      <c r="Q15" s="158">
        <f>ROUND(P15*'RATES-Fed'!I36,0)</f>
        <v>0</v>
      </c>
      <c r="R15" s="67">
        <f t="shared" si="6"/>
        <v>0</v>
      </c>
      <c r="S15" s="190">
        <f t="shared" si="7"/>
        <v>0</v>
      </c>
      <c r="T15" s="158">
        <f>ROUND(S15*'RATES-Fed'!K36,0)</f>
        <v>0</v>
      </c>
      <c r="U15" s="67">
        <f t="shared" si="8"/>
        <v>0</v>
      </c>
      <c r="V15" s="42">
        <f t="shared" si="9"/>
        <v>0</v>
      </c>
      <c r="W15" s="1"/>
    </row>
    <row r="16" spans="1:22" ht="15.75">
      <c r="A16" s="1"/>
      <c r="B16" s="1"/>
      <c r="C16" s="3"/>
      <c r="D16" s="142" t="str">
        <f>IF(D15="ACAD",("SUMR"),"")</f>
        <v>SUMR</v>
      </c>
      <c r="E16" s="70">
        <v>0</v>
      </c>
      <c r="F16" s="101">
        <f t="shared" si="0"/>
        <v>0</v>
      </c>
      <c r="G16" s="69">
        <f>+G15*0.4375</f>
        <v>0</v>
      </c>
      <c r="J16" s="190">
        <f t="shared" si="2"/>
        <v>0</v>
      </c>
      <c r="K16" s="158">
        <f>ROUND(J16*'RATES-Fed'!E36,0)</f>
        <v>0</v>
      </c>
      <c r="L16" s="67">
        <f t="shared" si="3"/>
        <v>0</v>
      </c>
      <c r="M16" s="190">
        <f t="shared" si="4"/>
        <v>0</v>
      </c>
      <c r="N16" s="158">
        <f>ROUND(M16*'RATES-Fed'!G36,0)</f>
        <v>0</v>
      </c>
      <c r="O16" s="67">
        <f t="shared" si="1"/>
        <v>0</v>
      </c>
      <c r="P16" s="190">
        <f t="shared" si="5"/>
        <v>0</v>
      </c>
      <c r="Q16" s="158">
        <f>ROUND(P16*'RATES-Fed'!I36,0)</f>
        <v>0</v>
      </c>
      <c r="R16" s="67">
        <f t="shared" si="6"/>
        <v>0</v>
      </c>
      <c r="S16" s="190">
        <f t="shared" si="7"/>
        <v>0</v>
      </c>
      <c r="T16" s="158">
        <f>ROUND(S16*'RATES-Fed'!K36,0)</f>
        <v>0</v>
      </c>
      <c r="U16" s="67">
        <f t="shared" si="8"/>
        <v>0</v>
      </c>
      <c r="V16" s="42">
        <f t="shared" si="9"/>
        <v>0</v>
      </c>
    </row>
    <row r="17" spans="1:23" ht="15.75">
      <c r="A17" s="1"/>
      <c r="B17" s="1" t="s">
        <v>15</v>
      </c>
      <c r="C17" s="3"/>
      <c r="D17" s="142" t="s">
        <v>131</v>
      </c>
      <c r="E17" s="70">
        <v>0</v>
      </c>
      <c r="F17" s="101">
        <f t="shared" si="0"/>
        <v>0</v>
      </c>
      <c r="G17" s="69">
        <v>0</v>
      </c>
      <c r="J17" s="190">
        <f t="shared" si="2"/>
        <v>0</v>
      </c>
      <c r="K17" s="158">
        <f>ROUND(J17*'RATES-Fed'!E36,0)</f>
        <v>0</v>
      </c>
      <c r="L17" s="67">
        <f t="shared" si="3"/>
        <v>0</v>
      </c>
      <c r="M17" s="190">
        <f t="shared" si="4"/>
        <v>0</v>
      </c>
      <c r="N17" s="158">
        <f>ROUND(M17*'RATES-Fed'!G36,0)</f>
        <v>0</v>
      </c>
      <c r="O17" s="67">
        <f t="shared" si="1"/>
        <v>0</v>
      </c>
      <c r="P17" s="190">
        <f t="shared" si="5"/>
        <v>0</v>
      </c>
      <c r="Q17" s="158">
        <f>ROUND(P17*'RATES-Fed'!I36,0)</f>
        <v>0</v>
      </c>
      <c r="R17" s="67">
        <f t="shared" si="6"/>
        <v>0</v>
      </c>
      <c r="S17" s="190">
        <f t="shared" si="7"/>
        <v>0</v>
      </c>
      <c r="T17" s="158">
        <f>ROUND(S17*'RATES-Fed'!K36,0)</f>
        <v>0</v>
      </c>
      <c r="U17" s="67">
        <f t="shared" si="8"/>
        <v>0</v>
      </c>
      <c r="V17" s="42">
        <f t="shared" si="9"/>
        <v>0</v>
      </c>
      <c r="W17" s="1"/>
    </row>
    <row r="18" spans="1:22" ht="15.75">
      <c r="A18" s="1"/>
      <c r="B18" s="1" t="s">
        <v>15</v>
      </c>
      <c r="C18" s="3"/>
      <c r="D18" s="142" t="s">
        <v>131</v>
      </c>
      <c r="E18" s="70">
        <v>0</v>
      </c>
      <c r="F18" s="101">
        <f t="shared" si="0"/>
        <v>0</v>
      </c>
      <c r="G18" s="69">
        <v>0</v>
      </c>
      <c r="J18" s="206">
        <f t="shared" si="2"/>
        <v>0</v>
      </c>
      <c r="K18" s="211">
        <f>ROUND(J18*'RATES-Fed'!E36,0)</f>
        <v>0</v>
      </c>
      <c r="L18" s="212">
        <f t="shared" si="3"/>
        <v>0</v>
      </c>
      <c r="M18" s="190">
        <f t="shared" si="4"/>
        <v>0</v>
      </c>
      <c r="N18" s="211">
        <f>ROUND(M18*'RATES-Fed'!G36,0)</f>
        <v>0</v>
      </c>
      <c r="O18" s="212">
        <f t="shared" si="1"/>
        <v>0</v>
      </c>
      <c r="P18" s="190">
        <f t="shared" si="5"/>
        <v>0</v>
      </c>
      <c r="Q18" s="211">
        <f>ROUND(P18*'RATES-Fed'!I36,0)</f>
        <v>0</v>
      </c>
      <c r="R18" s="212">
        <f t="shared" si="6"/>
        <v>0</v>
      </c>
      <c r="S18" s="190">
        <f t="shared" si="7"/>
        <v>0</v>
      </c>
      <c r="T18" s="211">
        <f>ROUND(S18*'RATES-Fed'!K36,0)</f>
        <v>0</v>
      </c>
      <c r="U18" s="212">
        <f t="shared" si="8"/>
        <v>0</v>
      </c>
      <c r="V18" s="209">
        <f t="shared" si="9"/>
        <v>0</v>
      </c>
    </row>
    <row r="19" spans="1:23" ht="15.75">
      <c r="A19" s="1"/>
      <c r="B19" s="1"/>
      <c r="C19" s="1"/>
      <c r="D19" s="25" t="s">
        <v>16</v>
      </c>
      <c r="E19" s="26"/>
      <c r="F19" s="26"/>
      <c r="G19" s="1"/>
      <c r="H19" s="1"/>
      <c r="I19" s="1"/>
      <c r="J19" s="210">
        <f aca="true" t="shared" si="10" ref="J19:V19">SUM(J11:J18)</f>
        <v>0</v>
      </c>
      <c r="K19" s="159">
        <f t="shared" si="10"/>
        <v>0</v>
      </c>
      <c r="L19" s="46">
        <f t="shared" si="10"/>
        <v>0</v>
      </c>
      <c r="M19" s="210">
        <f t="shared" si="10"/>
        <v>0</v>
      </c>
      <c r="N19" s="159">
        <f t="shared" si="10"/>
        <v>0</v>
      </c>
      <c r="O19" s="46">
        <f t="shared" si="10"/>
        <v>0</v>
      </c>
      <c r="P19" s="210">
        <f t="shared" si="10"/>
        <v>0</v>
      </c>
      <c r="Q19" s="159">
        <f t="shared" si="10"/>
        <v>0</v>
      </c>
      <c r="R19" s="46">
        <f t="shared" si="10"/>
        <v>0</v>
      </c>
      <c r="S19" s="210">
        <f t="shared" si="10"/>
        <v>0</v>
      </c>
      <c r="T19" s="159">
        <f t="shared" si="10"/>
        <v>0</v>
      </c>
      <c r="U19" s="46">
        <f t="shared" si="10"/>
        <v>0</v>
      </c>
      <c r="V19" s="42">
        <f t="shared" si="10"/>
        <v>0</v>
      </c>
      <c r="W19" s="6"/>
    </row>
    <row r="20" spans="1:23" ht="7.5" customHeight="1">
      <c r="A20" s="1"/>
      <c r="B20" s="1"/>
      <c r="C20" s="1"/>
      <c r="D20" s="26"/>
      <c r="E20" s="26"/>
      <c r="F20" s="26"/>
      <c r="G20" s="1"/>
      <c r="H20" s="1"/>
      <c r="I20" s="1"/>
      <c r="J20" s="195"/>
      <c r="K20" s="159"/>
      <c r="L20" s="46"/>
      <c r="M20" s="189"/>
      <c r="N20" s="159"/>
      <c r="O20" s="46"/>
      <c r="P20" s="189"/>
      <c r="Q20" s="159"/>
      <c r="R20" s="46"/>
      <c r="S20" s="189"/>
      <c r="T20" s="159"/>
      <c r="U20" s="46"/>
      <c r="V20" s="42"/>
      <c r="W20" s="6"/>
    </row>
    <row r="21" spans="1:23" ht="15.75">
      <c r="A21" s="22" t="s">
        <v>17</v>
      </c>
      <c r="B21" s="22" t="s">
        <v>18</v>
      </c>
      <c r="C21" s="1"/>
      <c r="D21" s="26"/>
      <c r="E21" s="1"/>
      <c r="F21" s="1"/>
      <c r="G21" s="41"/>
      <c r="H21" s="1"/>
      <c r="I21" s="1"/>
      <c r="J21" s="193"/>
      <c r="K21" s="155"/>
      <c r="L21" s="145"/>
      <c r="M21" s="193"/>
      <c r="N21" s="159"/>
      <c r="O21" s="46"/>
      <c r="P21" s="193"/>
      <c r="Q21" s="159"/>
      <c r="R21" s="46"/>
      <c r="S21" s="193"/>
      <c r="T21" s="159"/>
      <c r="U21" s="46"/>
      <c r="V21" s="42"/>
      <c r="W21" s="6"/>
    </row>
    <row r="22" spans="1:23" ht="15.75">
      <c r="A22" s="1"/>
      <c r="C22" s="13" t="s">
        <v>89</v>
      </c>
      <c r="D22" s="41" t="s">
        <v>128</v>
      </c>
      <c r="E22" s="68"/>
      <c r="F22" s="68"/>
      <c r="G22" s="59"/>
      <c r="J22" s="190"/>
      <c r="K22" s="160"/>
      <c r="L22" s="50"/>
      <c r="M22" s="190"/>
      <c r="N22" s="170"/>
      <c r="O22" s="150"/>
      <c r="P22" s="190"/>
      <c r="Q22" s="170"/>
      <c r="R22" s="150"/>
      <c r="S22" s="190"/>
      <c r="T22" s="170"/>
      <c r="U22" s="150"/>
      <c r="V22" s="42"/>
      <c r="W22" s="5"/>
    </row>
    <row r="23" spans="1:23" ht="15.75">
      <c r="A23" s="1"/>
      <c r="C23" s="13"/>
      <c r="D23" s="99"/>
      <c r="E23" s="70">
        <v>0</v>
      </c>
      <c r="F23" s="100">
        <f>SUM(52*E23/4.33)</f>
        <v>0</v>
      </c>
      <c r="G23" s="69">
        <v>0</v>
      </c>
      <c r="J23" s="190">
        <f>ROUND(G23*E23,0)</f>
        <v>0</v>
      </c>
      <c r="K23" s="160">
        <f>ROUND(J23*'RATES-Fed'!E37,0)</f>
        <v>0</v>
      </c>
      <c r="L23" s="50">
        <f>SUM(J23:K23)</f>
        <v>0</v>
      </c>
      <c r="M23" s="190">
        <f>ROUND(J23*1.02,0)</f>
        <v>0</v>
      </c>
      <c r="N23" s="160">
        <f>ROUND(M23*'RATES-Fed'!G37,0)</f>
        <v>0</v>
      </c>
      <c r="O23" s="50">
        <f>SUM(M23:N23)</f>
        <v>0</v>
      </c>
      <c r="P23" s="190">
        <f>ROUND(M23*1.02,0)</f>
        <v>0</v>
      </c>
      <c r="Q23" s="160">
        <f>ROUND(P23*'RATES-Fed'!I37,0)</f>
        <v>0</v>
      </c>
      <c r="R23" s="50">
        <f>SUM(P23:Q23)</f>
        <v>0</v>
      </c>
      <c r="S23" s="190">
        <f>ROUND(P23*1.02,0)</f>
        <v>0</v>
      </c>
      <c r="T23" s="160">
        <f>ROUND(S23*'RATES-Fed'!K37,0)</f>
        <v>0</v>
      </c>
      <c r="U23" s="50">
        <f>SUM(S23:T23)</f>
        <v>0</v>
      </c>
      <c r="V23" s="42">
        <f>SUM(L23+O23+R23+U23)</f>
        <v>0</v>
      </c>
      <c r="W23" s="5"/>
    </row>
    <row r="24" spans="1:23" ht="15.75">
      <c r="A24" s="1"/>
      <c r="C24" s="13"/>
      <c r="D24" s="1"/>
      <c r="E24" s="70">
        <v>0</v>
      </c>
      <c r="F24" s="100">
        <f>SUM(52*E24/4.33)</f>
        <v>0</v>
      </c>
      <c r="G24" s="69">
        <v>0</v>
      </c>
      <c r="J24" s="190">
        <f>ROUND(G24*E24,0)</f>
        <v>0</v>
      </c>
      <c r="K24" s="160">
        <f>ROUND(J24*'RATES-Fed'!E37,0)</f>
        <v>0</v>
      </c>
      <c r="L24" s="50">
        <f>SUM(J24:K24)</f>
        <v>0</v>
      </c>
      <c r="M24" s="190">
        <f>ROUND(J24*1.02,0)</f>
        <v>0</v>
      </c>
      <c r="N24" s="160">
        <f>ROUND(M24*'RATES-Fed'!G37,0)</f>
        <v>0</v>
      </c>
      <c r="O24" s="50">
        <f>SUM(M24:N24)</f>
        <v>0</v>
      </c>
      <c r="P24" s="190">
        <f>ROUND(M24*1.02,0)</f>
        <v>0</v>
      </c>
      <c r="Q24" s="160">
        <f>ROUND(P24*'RATES-Fed'!I37,0)</f>
        <v>0</v>
      </c>
      <c r="R24" s="50">
        <f>SUM(P24:Q24)</f>
        <v>0</v>
      </c>
      <c r="S24" s="190">
        <f>ROUND(P24*1.02,0)</f>
        <v>0</v>
      </c>
      <c r="T24" s="160">
        <f>ROUND(S24*'RATES-Fed'!K37,0)</f>
        <v>0</v>
      </c>
      <c r="U24" s="50">
        <f>SUM(S24:T24)</f>
        <v>0</v>
      </c>
      <c r="V24" s="42">
        <f>SUM(L24+O24+R24+U24)</f>
        <v>0</v>
      </c>
      <c r="W24" s="5"/>
    </row>
    <row r="25" spans="1:23" ht="15.75">
      <c r="A25" s="1"/>
      <c r="C25" s="13"/>
      <c r="D25" s="1"/>
      <c r="E25" s="70">
        <v>0</v>
      </c>
      <c r="F25" s="100">
        <f>SUM(52*E25/4.33)</f>
        <v>0</v>
      </c>
      <c r="G25" s="69">
        <v>0</v>
      </c>
      <c r="J25" s="206">
        <f>ROUND(G25*E25,0)</f>
        <v>0</v>
      </c>
      <c r="K25" s="207">
        <f>ROUND(J25*'RATES-Fed'!E37,0)</f>
        <v>0</v>
      </c>
      <c r="L25" s="208">
        <f>SUM(J25:K25)</f>
        <v>0</v>
      </c>
      <c r="M25" s="190">
        <f>ROUND(J25*1.02,0)</f>
        <v>0</v>
      </c>
      <c r="N25" s="207">
        <f>ROUND(M25*'RATES-Fed'!G37,0)</f>
        <v>0</v>
      </c>
      <c r="O25" s="208">
        <f>SUM(M25:N25)</f>
        <v>0</v>
      </c>
      <c r="P25" s="190">
        <f>ROUND(M25*1.02,0)</f>
        <v>0</v>
      </c>
      <c r="Q25" s="207">
        <f>ROUND(P25*'RATES-Fed'!I37,0)</f>
        <v>0</v>
      </c>
      <c r="R25" s="208">
        <f>SUM(P25:Q25)</f>
        <v>0</v>
      </c>
      <c r="S25" s="190">
        <f>ROUND(P25*1.02,0)</f>
        <v>0</v>
      </c>
      <c r="T25" s="207">
        <f>ROUND(S25*'RATES-Fed'!K37,0)</f>
        <v>0</v>
      </c>
      <c r="U25" s="208">
        <f>SUM(S25:T25)</f>
        <v>0</v>
      </c>
      <c r="V25" s="209">
        <f>SUM(L25+O25+R25+U25)</f>
        <v>0</v>
      </c>
      <c r="W25" s="5"/>
    </row>
    <row r="26" spans="1:23" ht="15.75">
      <c r="A26" s="1"/>
      <c r="C26" s="13"/>
      <c r="D26" s="1" t="s">
        <v>129</v>
      </c>
      <c r="E26" s="70"/>
      <c r="F26" s="70"/>
      <c r="G26" s="69"/>
      <c r="J26" s="196">
        <f aca="true" t="shared" si="11" ref="J26:V26">SUM(J23:J25)</f>
        <v>0</v>
      </c>
      <c r="K26" s="160">
        <f t="shared" si="11"/>
        <v>0</v>
      </c>
      <c r="L26" s="50">
        <f t="shared" si="11"/>
        <v>0</v>
      </c>
      <c r="M26" s="196">
        <f t="shared" si="11"/>
        <v>0</v>
      </c>
      <c r="N26" s="170">
        <f>SUM(N23:N25)</f>
        <v>0</v>
      </c>
      <c r="O26" s="150">
        <f t="shared" si="11"/>
        <v>0</v>
      </c>
      <c r="P26" s="196">
        <f t="shared" si="11"/>
        <v>0</v>
      </c>
      <c r="Q26" s="170">
        <f t="shared" si="11"/>
        <v>0</v>
      </c>
      <c r="R26" s="150">
        <f t="shared" si="11"/>
        <v>0</v>
      </c>
      <c r="S26" s="196">
        <f t="shared" si="11"/>
        <v>0</v>
      </c>
      <c r="T26" s="170">
        <f t="shared" si="11"/>
        <v>0</v>
      </c>
      <c r="U26" s="150">
        <f t="shared" si="11"/>
        <v>0</v>
      </c>
      <c r="V26" s="42">
        <f t="shared" si="11"/>
        <v>0</v>
      </c>
      <c r="W26" s="5"/>
    </row>
    <row r="27" spans="1:23" ht="9.75" customHeight="1">
      <c r="A27" s="1"/>
      <c r="C27" s="13"/>
      <c r="D27" s="1"/>
      <c r="E27" s="70"/>
      <c r="F27" s="70"/>
      <c r="G27" s="69"/>
      <c r="J27" s="196"/>
      <c r="K27" s="160"/>
      <c r="L27" s="50"/>
      <c r="M27" s="196"/>
      <c r="N27" s="170"/>
      <c r="O27" s="150"/>
      <c r="P27" s="196"/>
      <c r="Q27" s="170"/>
      <c r="R27" s="150"/>
      <c r="S27" s="196"/>
      <c r="T27" s="170"/>
      <c r="U27" s="150"/>
      <c r="V27" s="42"/>
      <c r="W27" s="5"/>
    </row>
    <row r="28" spans="1:23" ht="15.75">
      <c r="A28" s="1"/>
      <c r="C28" s="13" t="s">
        <v>90</v>
      </c>
      <c r="D28" s="1"/>
      <c r="E28" s="68"/>
      <c r="F28" s="68"/>
      <c r="G28" s="59"/>
      <c r="J28" s="190">
        <v>0</v>
      </c>
      <c r="K28" s="160">
        <f>ROUND(J28*'RATES-Fed'!E40,0)</f>
        <v>0</v>
      </c>
      <c r="L28" s="50">
        <f>SUM(J28:K28)</f>
        <v>0</v>
      </c>
      <c r="M28" s="190">
        <f>ROUND((J28*1.02),0)</f>
        <v>0</v>
      </c>
      <c r="N28" s="160">
        <f>ROUND(M28*'RATES-Fed'!G40,0)</f>
        <v>0</v>
      </c>
      <c r="O28" s="50">
        <f>SUM(M28:N28)</f>
        <v>0</v>
      </c>
      <c r="P28" s="190">
        <f>ROUND((M28*1.02),0)</f>
        <v>0</v>
      </c>
      <c r="Q28" s="160">
        <f>ROUND(P28*'RATES-Fed'!I40,0)</f>
        <v>0</v>
      </c>
      <c r="R28" s="50">
        <f>SUM(P28:Q28)</f>
        <v>0</v>
      </c>
      <c r="S28" s="190">
        <f>ROUND((P28*1.02),0)</f>
        <v>0</v>
      </c>
      <c r="T28" s="160">
        <f>ROUND(S28*'RATES-Fed'!K40,0)</f>
        <v>0</v>
      </c>
      <c r="U28" s="50">
        <f>SUM(S28:T28)</f>
        <v>0</v>
      </c>
      <c r="V28" s="42">
        <f>SUM(L28+O28+R28+U28)</f>
        <v>0</v>
      </c>
      <c r="W28" s="5"/>
    </row>
    <row r="29" spans="1:23" ht="15.75">
      <c r="A29" s="1"/>
      <c r="C29" s="13" t="s">
        <v>19</v>
      </c>
      <c r="D29" s="1"/>
      <c r="E29" s="3"/>
      <c r="F29" s="3"/>
      <c r="J29" s="190">
        <v>0</v>
      </c>
      <c r="K29" s="160">
        <f>ROUND(J29*'RATES-Fed'!E39,0)</f>
        <v>0</v>
      </c>
      <c r="L29" s="50">
        <f>SUM(J29:K29)</f>
        <v>0</v>
      </c>
      <c r="M29" s="190">
        <f>ROUND((J29*1.02),0)</f>
        <v>0</v>
      </c>
      <c r="N29" s="160">
        <f>ROUND(M29*'RATES-Fed'!G39,0)</f>
        <v>0</v>
      </c>
      <c r="O29" s="50">
        <f>SUM(M29:N29)</f>
        <v>0</v>
      </c>
      <c r="P29" s="190">
        <f>ROUND((M29*1.02),0)</f>
        <v>0</v>
      </c>
      <c r="Q29" s="160">
        <f>ROUND(P29*'RATES-Fed'!I39,0)</f>
        <v>0</v>
      </c>
      <c r="R29" s="50">
        <f>SUM(P29:Q29)</f>
        <v>0</v>
      </c>
      <c r="S29" s="190">
        <f>ROUND((P29*1.02),0)</f>
        <v>0</v>
      </c>
      <c r="T29" s="160">
        <f>ROUND(S29*'RATES-Fed'!K39,0)</f>
        <v>0</v>
      </c>
      <c r="U29" s="50">
        <f>SUM(S29:T29)</f>
        <v>0</v>
      </c>
      <c r="V29" s="42">
        <f>SUM(L29+O29+R29+U29)</f>
        <v>0</v>
      </c>
      <c r="W29" s="5"/>
    </row>
    <row r="30" spans="1:23" ht="15.75">
      <c r="A30" s="1"/>
      <c r="C30" s="13" t="s">
        <v>20</v>
      </c>
      <c r="D30" s="1"/>
      <c r="E30" s="3"/>
      <c r="F30" s="3"/>
      <c r="J30" s="190">
        <v>0</v>
      </c>
      <c r="K30" s="160">
        <f>ROUND(J30*'RATES-Fed'!E39,0)</f>
        <v>0</v>
      </c>
      <c r="L30" s="50">
        <f>SUM(J30:K30)</f>
        <v>0</v>
      </c>
      <c r="M30" s="190">
        <f>ROUND((J30*1.02),0)</f>
        <v>0</v>
      </c>
      <c r="N30" s="160">
        <f>ROUND(M30*'RATES-Fed'!G39,0)</f>
        <v>0</v>
      </c>
      <c r="O30" s="50">
        <f>SUM(M30:N30)</f>
        <v>0</v>
      </c>
      <c r="P30" s="190">
        <f>ROUND((M30*1.02),0)</f>
        <v>0</v>
      </c>
      <c r="Q30" s="160">
        <f>ROUND(P30*'RATES-Fed'!I39,0)</f>
        <v>0</v>
      </c>
      <c r="R30" s="50">
        <f>SUM(P30:Q30)</f>
        <v>0</v>
      </c>
      <c r="S30" s="190">
        <f>ROUND((P30*1.02),0)</f>
        <v>0</v>
      </c>
      <c r="T30" s="160">
        <f>ROUND(S30*'RATES-Fed'!K39,0)</f>
        <v>0</v>
      </c>
      <c r="U30" s="50">
        <f>SUM(S30:T30)</f>
        <v>0</v>
      </c>
      <c r="V30" s="42">
        <f>SUM(L30+O30+R30+U30)</f>
        <v>0</v>
      </c>
      <c r="W30" s="5"/>
    </row>
    <row r="31" spans="1:23" s="96" customFormat="1" ht="15.75">
      <c r="A31" s="145"/>
      <c r="C31" s="144" t="s">
        <v>21</v>
      </c>
      <c r="D31" s="145"/>
      <c r="E31" s="151"/>
      <c r="F31" s="151"/>
      <c r="J31" s="190">
        <v>0</v>
      </c>
      <c r="K31" s="160">
        <f>ROUND(J31*'RATES-Fed'!E40,0)</f>
        <v>0</v>
      </c>
      <c r="L31" s="50">
        <f>SUM(J31:K31)</f>
        <v>0</v>
      </c>
      <c r="M31" s="190">
        <f>ROUND((J31*1.02),0)</f>
        <v>0</v>
      </c>
      <c r="N31" s="160">
        <f>ROUND(M31*'RATES-Fed'!G40,0)</f>
        <v>0</v>
      </c>
      <c r="O31" s="50">
        <f>SUM(M31:N31)</f>
        <v>0</v>
      </c>
      <c r="P31" s="190">
        <f>ROUND((M31*1.02),0)</f>
        <v>0</v>
      </c>
      <c r="Q31" s="160">
        <f>ROUND(P31*'RATES-Fed'!I40,0)</f>
        <v>0</v>
      </c>
      <c r="R31" s="50">
        <f>SUM(P31:Q31)</f>
        <v>0</v>
      </c>
      <c r="S31" s="190">
        <f>ROUND((P31*1.02),0)</f>
        <v>0</v>
      </c>
      <c r="T31" s="160">
        <f>ROUND(S31*'RATES-Fed'!K40,0)</f>
        <v>0</v>
      </c>
      <c r="U31" s="50">
        <f>SUM(S31:T31)</f>
        <v>0</v>
      </c>
      <c r="V31" s="42">
        <f>SUM(L31+O31+R31+U31)</f>
        <v>0</v>
      </c>
      <c r="W31" s="152"/>
    </row>
    <row r="32" spans="1:23" s="96" customFormat="1" ht="15.75">
      <c r="A32" s="145"/>
      <c r="C32" s="144" t="s">
        <v>91</v>
      </c>
      <c r="D32" s="145"/>
      <c r="E32" s="153"/>
      <c r="F32" s="153"/>
      <c r="G32" s="59"/>
      <c r="J32" s="206">
        <v>0</v>
      </c>
      <c r="K32" s="207">
        <f>ROUND(J32*'RATES-Fed'!E38,0)</f>
        <v>0</v>
      </c>
      <c r="L32" s="208">
        <f>SUM(J32:K32)</f>
        <v>0</v>
      </c>
      <c r="M32" s="190">
        <f>ROUND((J32*1.02),0)</f>
        <v>0</v>
      </c>
      <c r="N32" s="214">
        <f>ROUND(M32*'RATES-Fed'!G38,0)</f>
        <v>0</v>
      </c>
      <c r="O32" s="208">
        <f>SUM(M32:N32)</f>
        <v>0</v>
      </c>
      <c r="P32" s="190">
        <f>ROUND((M32*1.02),0)</f>
        <v>0</v>
      </c>
      <c r="Q32" s="214">
        <f>ROUND(P32*'RATES-Fed'!I38,0)</f>
        <v>0</v>
      </c>
      <c r="R32" s="208">
        <f>SUM(P32:Q32)</f>
        <v>0</v>
      </c>
      <c r="S32" s="190">
        <f>ROUND((P32*1.02),0)</f>
        <v>0</v>
      </c>
      <c r="T32" s="214">
        <f>ROUND(S32*'RATES-Fed'!K38,0)</f>
        <v>0</v>
      </c>
      <c r="U32" s="208">
        <f>SUM(S32:T32)</f>
        <v>0</v>
      </c>
      <c r="V32" s="209">
        <f>SUM(L32+O32+R32+U32)</f>
        <v>0</v>
      </c>
      <c r="W32" s="152"/>
    </row>
    <row r="33" spans="1:23" ht="15.75">
      <c r="A33" s="1"/>
      <c r="B33" s="1"/>
      <c r="C33" s="1"/>
      <c r="D33" s="191" t="s">
        <v>214</v>
      </c>
      <c r="E33" s="26"/>
      <c r="F33" s="26"/>
      <c r="G33" s="1"/>
      <c r="H33" s="1"/>
      <c r="I33" s="1"/>
      <c r="J33" s="213">
        <f aca="true" t="shared" si="12" ref="J33:U33">SUM(J19+J26+J28+J29+J30+J31+J32)</f>
        <v>0</v>
      </c>
      <c r="K33" s="160">
        <f t="shared" si="12"/>
        <v>0</v>
      </c>
      <c r="L33" s="50">
        <f t="shared" si="12"/>
        <v>0</v>
      </c>
      <c r="M33" s="213">
        <f t="shared" si="12"/>
        <v>0</v>
      </c>
      <c r="N33" s="160">
        <f t="shared" si="12"/>
        <v>0</v>
      </c>
      <c r="O33" s="50">
        <f t="shared" si="12"/>
        <v>0</v>
      </c>
      <c r="P33" s="213">
        <f t="shared" si="12"/>
        <v>0</v>
      </c>
      <c r="Q33" s="160">
        <f t="shared" si="12"/>
        <v>0</v>
      </c>
      <c r="R33" s="50">
        <f t="shared" si="12"/>
        <v>0</v>
      </c>
      <c r="S33" s="213">
        <f t="shared" si="12"/>
        <v>0</v>
      </c>
      <c r="T33" s="160">
        <f t="shared" si="12"/>
        <v>0</v>
      </c>
      <c r="U33" s="50">
        <f t="shared" si="12"/>
        <v>0</v>
      </c>
      <c r="V33" s="42"/>
      <c r="W33" s="5"/>
    </row>
    <row r="34" spans="1:23" ht="7.5" customHeight="1">
      <c r="A34" s="1"/>
      <c r="B34" s="1"/>
      <c r="C34" s="1"/>
      <c r="D34" s="26"/>
      <c r="E34" s="26"/>
      <c r="F34" s="26"/>
      <c r="G34" s="26"/>
      <c r="H34" s="26"/>
      <c r="I34" s="26"/>
      <c r="J34" s="52"/>
      <c r="K34" s="159"/>
      <c r="L34" s="179"/>
      <c r="M34" s="64"/>
      <c r="P34" s="64"/>
      <c r="Q34" s="159"/>
      <c r="R34" s="46"/>
      <c r="S34" s="64"/>
      <c r="T34" s="159"/>
      <c r="U34" s="46"/>
      <c r="V34" s="64" t="s">
        <v>1</v>
      </c>
      <c r="W34" s="6"/>
    </row>
    <row r="35" spans="1:23" s="31" customFormat="1" ht="15.75">
      <c r="A35" s="40" t="s">
        <v>24</v>
      </c>
      <c r="B35" s="21"/>
      <c r="D35" s="28"/>
      <c r="E35" s="28"/>
      <c r="F35" s="28"/>
      <c r="G35" s="28"/>
      <c r="H35" s="28"/>
      <c r="I35" s="28"/>
      <c r="J35" s="47">
        <f>SUM(J33+K33)</f>
        <v>0</v>
      </c>
      <c r="K35" s="161"/>
      <c r="L35" s="181"/>
      <c r="M35" s="47">
        <f>SUM(M33+N33)</f>
        <v>0</v>
      </c>
      <c r="N35" s="161"/>
      <c r="O35" s="146"/>
      <c r="P35" s="47">
        <f>SUM(P33+Q33)</f>
        <v>0</v>
      </c>
      <c r="Q35" s="161"/>
      <c r="R35" s="146"/>
      <c r="S35" s="47">
        <f>SUM(S33+T33)</f>
        <v>0</v>
      </c>
      <c r="T35" s="161"/>
      <c r="U35" s="146"/>
      <c r="V35" s="47">
        <f>SUM(J35+M35+P35+S35)</f>
        <v>0</v>
      </c>
      <c r="W35" s="29"/>
    </row>
    <row r="36" spans="1:23" ht="8.25" customHeight="1">
      <c r="A36" s="1"/>
      <c r="B36" s="1"/>
      <c r="C36" s="28"/>
      <c r="D36" s="26"/>
      <c r="E36" s="26"/>
      <c r="F36" s="26"/>
      <c r="G36" s="26"/>
      <c r="H36" s="26"/>
      <c r="I36" s="26"/>
      <c r="J36" s="52"/>
      <c r="K36" s="159"/>
      <c r="L36" s="179"/>
      <c r="M36" s="46"/>
      <c r="N36" s="159"/>
      <c r="O36" s="46"/>
      <c r="P36" s="46"/>
      <c r="Q36" s="159"/>
      <c r="R36" s="46"/>
      <c r="S36" s="46"/>
      <c r="T36" s="159"/>
      <c r="U36" s="46"/>
      <c r="V36" s="46" t="s">
        <v>1</v>
      </c>
      <c r="W36" s="6"/>
    </row>
    <row r="37" spans="1:23" ht="15.75">
      <c r="A37" s="22" t="s">
        <v>25</v>
      </c>
      <c r="B37" s="22" t="s">
        <v>26</v>
      </c>
      <c r="C37" s="21"/>
      <c r="D37" s="26"/>
      <c r="E37" s="26"/>
      <c r="F37" s="26"/>
      <c r="G37" s="26"/>
      <c r="H37" s="26"/>
      <c r="I37" s="26"/>
      <c r="J37" s="52"/>
      <c r="K37" s="159"/>
      <c r="L37" s="179"/>
      <c r="M37" s="50"/>
      <c r="N37" s="159"/>
      <c r="O37" s="46"/>
      <c r="P37" s="50"/>
      <c r="Q37" s="159"/>
      <c r="R37" s="46"/>
      <c r="S37" s="50"/>
      <c r="T37" s="159"/>
      <c r="U37" s="46"/>
      <c r="V37" s="50" t="s">
        <v>1</v>
      </c>
      <c r="W37" s="6"/>
    </row>
    <row r="38" spans="1:23" ht="15.75">
      <c r="A38" s="21"/>
      <c r="B38" s="21"/>
      <c r="C38" s="10" t="s">
        <v>27</v>
      </c>
      <c r="D38" s="30"/>
      <c r="E38" s="30"/>
      <c r="F38" s="30"/>
      <c r="G38" s="30"/>
      <c r="H38" s="30"/>
      <c r="I38" s="30"/>
      <c r="J38" s="42">
        <v>0</v>
      </c>
      <c r="K38" s="159"/>
      <c r="L38" s="179"/>
      <c r="M38" s="42">
        <v>0</v>
      </c>
      <c r="N38" s="160"/>
      <c r="O38" s="50"/>
      <c r="P38" s="42">
        <v>0</v>
      </c>
      <c r="Q38" s="160"/>
      <c r="R38" s="50"/>
      <c r="S38" s="42">
        <v>0</v>
      </c>
      <c r="T38" s="160"/>
      <c r="U38" s="50"/>
      <c r="V38" s="42">
        <f>SUM(J38:U38)</f>
        <v>0</v>
      </c>
      <c r="W38" s="6"/>
    </row>
    <row r="39" spans="1:23" ht="15.75">
      <c r="A39" s="21"/>
      <c r="B39" s="21"/>
      <c r="C39" s="10" t="s">
        <v>27</v>
      </c>
      <c r="D39" s="30"/>
      <c r="E39" s="30"/>
      <c r="F39" s="30"/>
      <c r="G39" s="30"/>
      <c r="H39" s="30"/>
      <c r="I39" s="30"/>
      <c r="J39" s="42">
        <v>0</v>
      </c>
      <c r="K39" s="159"/>
      <c r="L39" s="179"/>
      <c r="M39" s="42">
        <v>0</v>
      </c>
      <c r="N39" s="160"/>
      <c r="O39" s="50"/>
      <c r="P39" s="42">
        <v>0</v>
      </c>
      <c r="Q39" s="160"/>
      <c r="R39" s="50"/>
      <c r="S39" s="42">
        <v>0</v>
      </c>
      <c r="T39" s="160"/>
      <c r="U39" s="50"/>
      <c r="V39" s="42">
        <f>SUM(J39:U39)</f>
        <v>0</v>
      </c>
      <c r="W39" s="6"/>
    </row>
    <row r="40" spans="1:23" ht="15.75">
      <c r="A40" s="21"/>
      <c r="B40" s="21"/>
      <c r="C40" s="27" t="s">
        <v>28</v>
      </c>
      <c r="D40" s="28"/>
      <c r="E40" s="28"/>
      <c r="F40" s="28"/>
      <c r="G40" s="28"/>
      <c r="H40" s="28"/>
      <c r="I40" s="28"/>
      <c r="J40" s="53">
        <f>SUM(J38:J39)</f>
        <v>0</v>
      </c>
      <c r="K40" s="162"/>
      <c r="L40" s="182"/>
      <c r="M40" s="53">
        <f>SUM(M38:M39)</f>
        <v>0</v>
      </c>
      <c r="N40" s="162"/>
      <c r="O40" s="48"/>
      <c r="P40" s="53">
        <f>SUM(P38:P39)</f>
        <v>0</v>
      </c>
      <c r="Q40" s="162"/>
      <c r="R40" s="48"/>
      <c r="S40" s="53">
        <f>SUM(S38:S39)</f>
        <v>0</v>
      </c>
      <c r="T40" s="162"/>
      <c r="U40" s="48"/>
      <c r="V40" s="53">
        <f>SUM(J40:U40)</f>
        <v>0</v>
      </c>
      <c r="W40" s="29"/>
    </row>
    <row r="41" spans="1:23" ht="9" customHeight="1">
      <c r="A41" s="1"/>
      <c r="B41" s="1"/>
      <c r="C41" s="28"/>
      <c r="D41" s="26"/>
      <c r="E41" s="26"/>
      <c r="F41" s="26"/>
      <c r="G41" s="26"/>
      <c r="H41" s="26"/>
      <c r="I41" s="26"/>
      <c r="J41" s="52"/>
      <c r="K41" s="159"/>
      <c r="L41" s="179"/>
      <c r="M41" s="46"/>
      <c r="N41" s="159"/>
      <c r="O41" s="46"/>
      <c r="P41" s="46"/>
      <c r="Q41" s="159"/>
      <c r="R41" s="46"/>
      <c r="S41" s="46"/>
      <c r="T41" s="159"/>
      <c r="U41" s="46"/>
      <c r="V41" s="46"/>
      <c r="W41" s="6"/>
    </row>
    <row r="42" spans="1:23" ht="15.75">
      <c r="A42" s="22" t="s">
        <v>29</v>
      </c>
      <c r="B42" s="22" t="s">
        <v>30</v>
      </c>
      <c r="C42" s="1"/>
      <c r="D42" s="21"/>
      <c r="E42" s="21"/>
      <c r="F42" s="21"/>
      <c r="G42" s="1"/>
      <c r="H42" s="1"/>
      <c r="I42" s="1"/>
      <c r="J42" s="54" t="s">
        <v>1</v>
      </c>
      <c r="K42" s="160"/>
      <c r="L42" s="180"/>
      <c r="M42" s="45" t="s">
        <v>1</v>
      </c>
      <c r="N42" s="160"/>
      <c r="O42" s="50"/>
      <c r="P42" s="45" t="s">
        <v>1</v>
      </c>
      <c r="Q42" s="160"/>
      <c r="R42" s="50"/>
      <c r="S42" s="45" t="s">
        <v>1</v>
      </c>
      <c r="T42" s="160"/>
      <c r="U42" s="50"/>
      <c r="V42" s="45"/>
      <c r="W42" s="5"/>
    </row>
    <row r="43" spans="1:23" ht="15.75">
      <c r="A43" s="21"/>
      <c r="B43" s="21"/>
      <c r="C43" s="13" t="s">
        <v>31</v>
      </c>
      <c r="D43" s="10" t="s">
        <v>27</v>
      </c>
      <c r="E43" s="31"/>
      <c r="F43" s="31"/>
      <c r="J43" s="42">
        <v>0</v>
      </c>
      <c r="K43" s="160"/>
      <c r="L43" s="180"/>
      <c r="M43" s="42">
        <f>ROUND((J43*1.02),0)</f>
        <v>0</v>
      </c>
      <c r="N43" s="170"/>
      <c r="O43" s="150"/>
      <c r="P43" s="42">
        <f>ROUND((M43*1.02),0)</f>
        <v>0</v>
      </c>
      <c r="Q43" s="170"/>
      <c r="R43" s="150"/>
      <c r="S43" s="42">
        <f>ROUND((P43*1.02),0)</f>
        <v>0</v>
      </c>
      <c r="T43" s="170"/>
      <c r="U43" s="150"/>
      <c r="V43" s="42">
        <f>SUM(J43:U43)</f>
        <v>0</v>
      </c>
      <c r="W43" s="5"/>
    </row>
    <row r="44" spans="1:23" ht="15.75">
      <c r="A44" s="21"/>
      <c r="B44" s="21"/>
      <c r="C44" s="13" t="s">
        <v>32</v>
      </c>
      <c r="D44" s="10" t="s">
        <v>27</v>
      </c>
      <c r="E44" s="31"/>
      <c r="F44" s="31"/>
      <c r="J44" s="42">
        <v>0</v>
      </c>
      <c r="K44" s="160"/>
      <c r="L44" s="180"/>
      <c r="M44" s="42">
        <f>ROUND((J44*1.02),0)</f>
        <v>0</v>
      </c>
      <c r="N44" s="170"/>
      <c r="O44" s="150"/>
      <c r="P44" s="42">
        <f>ROUND((M44*1.02),0)</f>
        <v>0</v>
      </c>
      <c r="Q44" s="170"/>
      <c r="R44" s="150"/>
      <c r="S44" s="42">
        <f>ROUND((P44*1.02),0)</f>
        <v>0</v>
      </c>
      <c r="T44" s="170"/>
      <c r="U44" s="150"/>
      <c r="V44" s="42">
        <f>SUM(J44:U44)</f>
        <v>0</v>
      </c>
      <c r="W44" s="5"/>
    </row>
    <row r="45" spans="1:23" s="31" customFormat="1" ht="15.75">
      <c r="A45" s="21"/>
      <c r="B45" s="21"/>
      <c r="C45" s="27" t="s">
        <v>33</v>
      </c>
      <c r="D45" s="28"/>
      <c r="E45" s="28"/>
      <c r="F45" s="28"/>
      <c r="G45" s="28"/>
      <c r="H45" s="28"/>
      <c r="I45" s="28"/>
      <c r="J45" s="53">
        <f>SUM(J43:J44)</f>
        <v>0</v>
      </c>
      <c r="K45" s="162"/>
      <c r="L45" s="182"/>
      <c r="M45" s="55">
        <f>SUM(M43:M44)</f>
        <v>0</v>
      </c>
      <c r="N45" s="162"/>
      <c r="O45" s="48"/>
      <c r="P45" s="55">
        <f>SUM(P43:P44)</f>
        <v>0</v>
      </c>
      <c r="Q45" s="162"/>
      <c r="R45" s="48"/>
      <c r="S45" s="55">
        <f>SUM(S43:S44)</f>
        <v>0</v>
      </c>
      <c r="T45" s="162"/>
      <c r="U45" s="48"/>
      <c r="V45" s="55">
        <f>SUM(J45:U45)</f>
        <v>0</v>
      </c>
      <c r="W45" s="29"/>
    </row>
    <row r="46" spans="1:23" ht="10.5" customHeight="1">
      <c r="A46" s="1"/>
      <c r="B46" s="1"/>
      <c r="C46" s="28"/>
      <c r="D46" s="26"/>
      <c r="E46" s="26"/>
      <c r="F46" s="26"/>
      <c r="G46" s="26"/>
      <c r="H46" s="26"/>
      <c r="I46" s="26"/>
      <c r="J46" s="52"/>
      <c r="K46" s="159"/>
      <c r="L46" s="179"/>
      <c r="M46" s="42"/>
      <c r="N46" s="159"/>
      <c r="O46" s="46"/>
      <c r="P46" s="42"/>
      <c r="Q46" s="159"/>
      <c r="R46" s="46"/>
      <c r="S46" s="42"/>
      <c r="T46" s="159"/>
      <c r="U46" s="46"/>
      <c r="V46" s="42"/>
      <c r="W46" s="6"/>
    </row>
    <row r="47" spans="1:23" ht="15.75">
      <c r="A47" s="22" t="s">
        <v>34</v>
      </c>
      <c r="B47" s="22" t="s">
        <v>35</v>
      </c>
      <c r="C47" s="21"/>
      <c r="D47" s="21"/>
      <c r="E47" s="21"/>
      <c r="F47" s="21"/>
      <c r="G47" s="1"/>
      <c r="H47" s="1"/>
      <c r="I47" s="1"/>
      <c r="J47" s="54" t="s">
        <v>1</v>
      </c>
      <c r="K47" s="160"/>
      <c r="L47" s="180"/>
      <c r="M47" s="42" t="s">
        <v>1</v>
      </c>
      <c r="N47" s="160"/>
      <c r="O47" s="50"/>
      <c r="P47" s="42" t="s">
        <v>1</v>
      </c>
      <c r="Q47" s="160"/>
      <c r="R47" s="50"/>
      <c r="S47" s="42" t="s">
        <v>1</v>
      </c>
      <c r="T47" s="160"/>
      <c r="U47" s="50"/>
      <c r="V47" s="42"/>
      <c r="W47" s="5"/>
    </row>
    <row r="48" spans="1:23" ht="15.75">
      <c r="A48" s="21"/>
      <c r="B48" s="21"/>
      <c r="C48" s="13" t="s">
        <v>36</v>
      </c>
      <c r="D48" s="3"/>
      <c r="E48" s="31"/>
      <c r="F48" s="31"/>
      <c r="J48" s="42">
        <v>0</v>
      </c>
      <c r="K48" s="160"/>
      <c r="L48" s="180"/>
      <c r="M48" s="42">
        <f>ROUND((J48*1.02),0)</f>
        <v>0</v>
      </c>
      <c r="N48" s="170"/>
      <c r="O48" s="150"/>
      <c r="P48" s="42">
        <f>ROUND((M48*1.02),0)</f>
        <v>0</v>
      </c>
      <c r="Q48" s="170"/>
      <c r="R48" s="150"/>
      <c r="S48" s="42">
        <f>ROUND((P48*1.02),0)</f>
        <v>0</v>
      </c>
      <c r="T48" s="170"/>
      <c r="U48" s="150"/>
      <c r="V48" s="42">
        <f aca="true" t="shared" si="13" ref="V48:V59">SUM(J48:U48)</f>
        <v>0</v>
      </c>
      <c r="W48" s="5"/>
    </row>
    <row r="49" spans="1:23" ht="15.75">
      <c r="A49" s="21"/>
      <c r="B49" s="21"/>
      <c r="C49" s="13" t="s">
        <v>37</v>
      </c>
      <c r="D49" s="3"/>
      <c r="E49" s="31"/>
      <c r="F49" s="31"/>
      <c r="J49" s="42">
        <v>0</v>
      </c>
      <c r="K49" s="160"/>
      <c r="L49" s="180"/>
      <c r="M49" s="42">
        <f aca="true" t="shared" si="14" ref="M49:M54">ROUND((J49*1.02),0)</f>
        <v>0</v>
      </c>
      <c r="N49" s="170"/>
      <c r="O49" s="150"/>
      <c r="P49" s="42">
        <f aca="true" t="shared" si="15" ref="P49:P54">ROUND((M49*1.02),0)</f>
        <v>0</v>
      </c>
      <c r="Q49" s="170"/>
      <c r="R49" s="150"/>
      <c r="S49" s="42">
        <f aca="true" t="shared" si="16" ref="S49:S54">ROUND((P49*1.02),0)</f>
        <v>0</v>
      </c>
      <c r="T49" s="170"/>
      <c r="U49" s="150"/>
      <c r="V49" s="42">
        <f t="shared" si="13"/>
        <v>0</v>
      </c>
      <c r="W49" s="5"/>
    </row>
    <row r="50" spans="1:23" ht="15.75">
      <c r="A50" s="21"/>
      <c r="B50" s="21"/>
      <c r="C50" s="13" t="s">
        <v>38</v>
      </c>
      <c r="D50" s="3"/>
      <c r="E50" s="31"/>
      <c r="F50" s="31"/>
      <c r="J50" s="42">
        <v>0</v>
      </c>
      <c r="K50" s="160"/>
      <c r="L50" s="180"/>
      <c r="M50" s="42">
        <f t="shared" si="14"/>
        <v>0</v>
      </c>
      <c r="N50" s="170"/>
      <c r="O50" s="150"/>
      <c r="P50" s="42">
        <f t="shared" si="15"/>
        <v>0</v>
      </c>
      <c r="Q50" s="171"/>
      <c r="R50" s="42"/>
      <c r="S50" s="42">
        <f t="shared" si="16"/>
        <v>0</v>
      </c>
      <c r="T50" s="171"/>
      <c r="U50" s="42"/>
      <c r="V50" s="42">
        <f t="shared" si="13"/>
        <v>0</v>
      </c>
      <c r="W50" s="5"/>
    </row>
    <row r="51" spans="1:23" ht="15.75">
      <c r="A51" s="21"/>
      <c r="B51" s="21"/>
      <c r="C51" s="13" t="s">
        <v>39</v>
      </c>
      <c r="D51" s="3"/>
      <c r="E51" s="31"/>
      <c r="F51" s="31"/>
      <c r="J51" s="42">
        <v>0</v>
      </c>
      <c r="K51" s="160"/>
      <c r="L51" s="180"/>
      <c r="M51" s="42">
        <f t="shared" si="14"/>
        <v>0</v>
      </c>
      <c r="N51" s="170"/>
      <c r="O51" s="150"/>
      <c r="P51" s="42">
        <f t="shared" si="15"/>
        <v>0</v>
      </c>
      <c r="Q51" s="170"/>
      <c r="R51" s="150"/>
      <c r="S51" s="42">
        <f t="shared" si="16"/>
        <v>0</v>
      </c>
      <c r="T51" s="170"/>
      <c r="U51" s="150"/>
      <c r="V51" s="42">
        <f t="shared" si="13"/>
        <v>0</v>
      </c>
      <c r="W51" s="5"/>
    </row>
    <row r="52" spans="1:23" ht="15.75">
      <c r="A52" s="21"/>
      <c r="B52" s="21"/>
      <c r="C52" s="245" t="s">
        <v>105</v>
      </c>
      <c r="D52" s="3"/>
      <c r="E52" s="31"/>
      <c r="F52" s="31"/>
      <c r="J52" s="42">
        <v>0</v>
      </c>
      <c r="K52" s="160"/>
      <c r="L52" s="180"/>
      <c r="M52" s="42">
        <f t="shared" si="14"/>
        <v>0</v>
      </c>
      <c r="N52" s="170"/>
      <c r="O52" s="150"/>
      <c r="P52" s="42">
        <f t="shared" si="15"/>
        <v>0</v>
      </c>
      <c r="Q52" s="170"/>
      <c r="R52" s="150"/>
      <c r="S52" s="42">
        <f t="shared" si="16"/>
        <v>0</v>
      </c>
      <c r="T52" s="170"/>
      <c r="U52" s="150"/>
      <c r="V52" s="42">
        <f t="shared" si="13"/>
        <v>0</v>
      </c>
      <c r="W52" s="5"/>
    </row>
    <row r="53" spans="1:23" ht="15.75">
      <c r="A53" s="21"/>
      <c r="B53" s="21"/>
      <c r="C53" s="13" t="s">
        <v>93</v>
      </c>
      <c r="D53" s="3"/>
      <c r="E53" s="31"/>
      <c r="F53" s="31"/>
      <c r="J53" s="42">
        <v>0</v>
      </c>
      <c r="K53" s="160"/>
      <c r="L53" s="180"/>
      <c r="M53" s="42">
        <f t="shared" si="14"/>
        <v>0</v>
      </c>
      <c r="N53" s="171"/>
      <c r="O53" s="42"/>
      <c r="P53" s="42">
        <f t="shared" si="15"/>
        <v>0</v>
      </c>
      <c r="Q53" s="171"/>
      <c r="R53" s="42"/>
      <c r="S53" s="42">
        <f t="shared" si="16"/>
        <v>0</v>
      </c>
      <c r="T53" s="171"/>
      <c r="U53" s="42"/>
      <c r="V53" s="42">
        <f t="shared" si="13"/>
        <v>0</v>
      </c>
      <c r="W53" s="5"/>
    </row>
    <row r="54" spans="1:23" ht="15.75">
      <c r="A54" s="21"/>
      <c r="B54" s="21"/>
      <c r="C54" s="13" t="s">
        <v>40</v>
      </c>
      <c r="D54" s="21"/>
      <c r="E54" s="21"/>
      <c r="F54" s="21"/>
      <c r="G54" s="1"/>
      <c r="H54" s="1"/>
      <c r="I54" s="1"/>
      <c r="J54" s="42">
        <v>0</v>
      </c>
      <c r="K54" s="160"/>
      <c r="L54" s="180"/>
      <c r="M54" s="42">
        <f t="shared" si="14"/>
        <v>0</v>
      </c>
      <c r="N54" s="171"/>
      <c r="O54" s="42"/>
      <c r="P54" s="42">
        <f t="shared" si="15"/>
        <v>0</v>
      </c>
      <c r="Q54" s="171"/>
      <c r="R54" s="42"/>
      <c r="S54" s="42">
        <f t="shared" si="16"/>
        <v>0</v>
      </c>
      <c r="T54" s="171"/>
      <c r="U54" s="42"/>
      <c r="V54" s="42">
        <f t="shared" si="13"/>
        <v>0</v>
      </c>
      <c r="W54" s="5"/>
    </row>
    <row r="55" spans="1:24" ht="15.75">
      <c r="A55" s="21"/>
      <c r="B55" s="21"/>
      <c r="C55" s="22" t="s">
        <v>41</v>
      </c>
      <c r="D55" s="10"/>
      <c r="E55" s="31"/>
      <c r="F55" s="31"/>
      <c r="J55" s="42">
        <v>0</v>
      </c>
      <c r="K55" s="160"/>
      <c r="L55" s="180"/>
      <c r="M55" s="42">
        <v>0</v>
      </c>
      <c r="N55" s="170"/>
      <c r="O55" s="150"/>
      <c r="P55" s="42">
        <v>0</v>
      </c>
      <c r="Q55" s="170"/>
      <c r="R55" s="150"/>
      <c r="S55" s="42">
        <v>0</v>
      </c>
      <c r="T55" s="170"/>
      <c r="U55" s="150"/>
      <c r="V55" s="42">
        <f t="shared" si="13"/>
        <v>0</v>
      </c>
      <c r="W55" s="5"/>
      <c r="X55" s="76"/>
    </row>
    <row r="56" spans="1:24" ht="15.75">
      <c r="A56" s="21"/>
      <c r="B56" s="21"/>
      <c r="C56" s="63" t="s">
        <v>42</v>
      </c>
      <c r="D56" s="10"/>
      <c r="E56" s="31"/>
      <c r="F56" s="31"/>
      <c r="J56" s="42">
        <v>0</v>
      </c>
      <c r="K56" s="160"/>
      <c r="L56" s="180"/>
      <c r="M56" s="42">
        <v>0</v>
      </c>
      <c r="N56" s="170"/>
      <c r="O56" s="150"/>
      <c r="P56" s="42">
        <v>0</v>
      </c>
      <c r="Q56" s="170"/>
      <c r="R56" s="150"/>
      <c r="S56" s="42">
        <v>0</v>
      </c>
      <c r="T56" s="170"/>
      <c r="U56" s="150"/>
      <c r="V56" s="42">
        <f t="shared" si="13"/>
        <v>0</v>
      </c>
      <c r="W56" s="5"/>
      <c r="X56" s="76"/>
    </row>
    <row r="57" spans="1:24" ht="15.75">
      <c r="A57" s="21"/>
      <c r="B57" s="21"/>
      <c r="C57" s="63" t="s">
        <v>97</v>
      </c>
      <c r="D57" s="10"/>
      <c r="E57" s="31"/>
      <c r="F57" s="31"/>
      <c r="J57" s="42">
        <v>0</v>
      </c>
      <c r="K57" s="160"/>
      <c r="L57" s="180"/>
      <c r="M57" s="42">
        <v>0</v>
      </c>
      <c r="N57" s="170"/>
      <c r="O57" s="150"/>
      <c r="P57" s="42">
        <v>0</v>
      </c>
      <c r="Q57" s="170"/>
      <c r="R57" s="150"/>
      <c r="S57" s="42">
        <v>0</v>
      </c>
      <c r="T57" s="170"/>
      <c r="U57" s="150"/>
      <c r="V57" s="42">
        <f t="shared" si="13"/>
        <v>0</v>
      </c>
      <c r="W57" s="5"/>
      <c r="X57" s="76"/>
    </row>
    <row r="58" spans="1:24" ht="15.75">
      <c r="A58" s="21"/>
      <c r="B58" s="21"/>
      <c r="C58" s="63" t="s">
        <v>98</v>
      </c>
      <c r="D58" s="10"/>
      <c r="E58" s="31"/>
      <c r="F58" s="31"/>
      <c r="J58" s="42">
        <v>0</v>
      </c>
      <c r="K58" s="160"/>
      <c r="L58" s="180"/>
      <c r="M58" s="42">
        <v>0</v>
      </c>
      <c r="N58" s="170"/>
      <c r="O58" s="150"/>
      <c r="P58" s="42">
        <v>0</v>
      </c>
      <c r="Q58" s="170"/>
      <c r="R58" s="150"/>
      <c r="S58" s="42">
        <v>0</v>
      </c>
      <c r="T58" s="170"/>
      <c r="U58" s="150"/>
      <c r="V58" s="42">
        <f t="shared" si="13"/>
        <v>0</v>
      </c>
      <c r="W58" s="5"/>
      <c r="X58" s="76"/>
    </row>
    <row r="59" spans="1:24" ht="15.75">
      <c r="A59" s="40" t="s">
        <v>43</v>
      </c>
      <c r="D59" s="28"/>
      <c r="E59" s="28"/>
      <c r="F59" s="28"/>
      <c r="G59" s="28"/>
      <c r="H59" s="28"/>
      <c r="I59" s="28"/>
      <c r="J59" s="51">
        <f>SUM(J48:J58)</f>
        <v>0</v>
      </c>
      <c r="K59" s="163"/>
      <c r="L59" s="183"/>
      <c r="M59" s="43">
        <f>SUM(M48:M58)</f>
        <v>0</v>
      </c>
      <c r="N59" s="163"/>
      <c r="O59" s="44"/>
      <c r="P59" s="43">
        <f>SUM(P48:P58)</f>
        <v>0</v>
      </c>
      <c r="Q59" s="163"/>
      <c r="R59" s="44"/>
      <c r="S59" s="43">
        <f>SUM(S48:S58)</f>
        <v>0</v>
      </c>
      <c r="T59" s="163"/>
      <c r="U59" s="44"/>
      <c r="V59" s="43">
        <f t="shared" si="13"/>
        <v>0</v>
      </c>
      <c r="W59" s="34"/>
      <c r="X59" s="76"/>
    </row>
    <row r="60" spans="1:23" ht="7.5" customHeight="1">
      <c r="A60" s="21"/>
      <c r="B60" s="21"/>
      <c r="C60" s="26"/>
      <c r="D60" s="28"/>
      <c r="E60" s="28"/>
      <c r="F60" s="28"/>
      <c r="G60" s="26"/>
      <c r="H60" s="26"/>
      <c r="I60" s="26"/>
      <c r="J60" s="52"/>
      <c r="K60" s="159"/>
      <c r="L60" s="179"/>
      <c r="M60" s="46"/>
      <c r="N60" s="159"/>
      <c r="O60" s="46"/>
      <c r="P60" s="46"/>
      <c r="Q60" s="159"/>
      <c r="R60" s="46"/>
      <c r="S60" s="46"/>
      <c r="T60" s="159"/>
      <c r="U60" s="46"/>
      <c r="V60" s="46" t="s">
        <v>1</v>
      </c>
      <c r="W60" s="6"/>
    </row>
    <row r="61" spans="1:23" ht="16.5">
      <c r="A61" s="28"/>
      <c r="B61" s="28"/>
      <c r="C61" s="28"/>
      <c r="D61" s="21"/>
      <c r="E61" s="32" t="s">
        <v>44</v>
      </c>
      <c r="F61" s="32"/>
      <c r="G61" s="39"/>
      <c r="H61" s="39"/>
      <c r="I61" s="39"/>
      <c r="J61" s="65">
        <f>ROUND(+J59+J45+J40+J35,0)</f>
        <v>0</v>
      </c>
      <c r="K61" s="164"/>
      <c r="L61" s="184"/>
      <c r="M61" s="65">
        <f>ROUND(+M59+M45+M40+M35,0)</f>
        <v>0</v>
      </c>
      <c r="N61" s="164"/>
      <c r="O61" s="65"/>
      <c r="P61" s="65">
        <f>ROUND(+P59+P45+P40+P35,0)</f>
        <v>0</v>
      </c>
      <c r="Q61" s="164"/>
      <c r="R61" s="65"/>
      <c r="S61" s="65">
        <f>ROUND(+S59+S45+S40+S35,0)</f>
        <v>0</v>
      </c>
      <c r="T61" s="164"/>
      <c r="U61" s="65"/>
      <c r="V61" s="65">
        <f>SUM(J61:U61)</f>
        <v>0</v>
      </c>
      <c r="W61" s="34"/>
    </row>
    <row r="62" spans="1:22" ht="7.5" customHeight="1">
      <c r="A62" s="28"/>
      <c r="B62" s="28"/>
      <c r="C62" s="28"/>
      <c r="D62" s="21"/>
      <c r="E62" s="32"/>
      <c r="F62" s="32"/>
      <c r="G62" s="39"/>
      <c r="H62" s="39"/>
      <c r="I62" s="39"/>
      <c r="J62" s="66"/>
      <c r="K62" s="164"/>
      <c r="L62" s="184"/>
      <c r="M62" s="65"/>
      <c r="N62" s="172"/>
      <c r="O62" s="200"/>
      <c r="P62" s="65"/>
      <c r="Q62" s="172"/>
      <c r="R62" s="200"/>
      <c r="S62" s="65"/>
      <c r="T62" s="172"/>
      <c r="U62" s="200"/>
      <c r="V62" s="65"/>
    </row>
    <row r="63" spans="1:24" ht="15.75">
      <c r="A63" s="28"/>
      <c r="B63" s="28"/>
      <c r="C63" s="28"/>
      <c r="D63" s="21"/>
      <c r="G63" s="39"/>
      <c r="H63" s="98" t="s">
        <v>124</v>
      </c>
      <c r="I63" s="39"/>
      <c r="J63" s="74">
        <f>(IF((J55)&gt;25000,(25000),J55)+((IF((J56)&gt;25000,(25000),J56))+((IF((J57)&gt;25000,(25000),J57))+((IF((J58)&gt;25000,(25000),J58))+SUM(J61-J40-J52-J55-J56-J57-J58-J53)))))</f>
        <v>0</v>
      </c>
      <c r="K63" s="165"/>
      <c r="L63" s="185"/>
      <c r="M63" s="74">
        <f>IF(J55&gt;=(25000),0,((IF((J55+M55)&lt;=(25000),M55,(25000-J55)))))+IF(J56&gt;=(25000),0,((IF((J56+M56)&lt;=(25000),M56,(25000-J56)))))+IF(J57&gt;=(25000),0,((IF((J57+M57)&lt;=(25000),M57,(25000-J57)))))+IF(J58&gt;=(25000),0,((IF((J58+M58)&lt;=(25000),M58,(25000-J58)))))+SUM(M61-M40-M52-M55-M56-M57-M58-M53)</f>
        <v>0</v>
      </c>
      <c r="N63" s="165"/>
      <c r="O63" s="201"/>
      <c r="P63" s="74">
        <f>IF(J55&gt;=(25000),0,(((IF((J55+M55)&gt;=(25000),0,((IF((J55+M55+P55)&lt;=(25000),P55,(25000-SUM(J55+M55))))))))))+IF(J56&gt;=(25000),0,(((IF((J56+M56)&gt;=(25000),0,((IF((J56+M56+P56)&lt;(25000),P56,(25000-SUM(J56+M56))))))))))+IF(J57&gt;=(25000),0,(((IF((J57+M57)&gt;=(25000),0,((IF((J57+M57+P57)&lt;(25000),P57,(25000-SUM(J57+M57))))))))))+IF(J58&gt;=(25000),0,(((IF((J58+M58)&gt;=(25000),0,((IF((J58+M58+P58)&lt;(25000),P58,(25000-SUM(J58+M58))))))))))+SUM(P61-P40-P52-P55-P56-P57-P58-P53)</f>
        <v>0</v>
      </c>
      <c r="Q63" s="165"/>
      <c r="R63" s="201"/>
      <c r="S63" s="74">
        <f>IF(J55&gt;=(25000),0,(((IF((J55+M55)&gt;=(25000),0,((IF((J55+M55+P55)&gt;=(25000),0,(IF((J55+M55+P55+S55)&lt;=(25000),S55,(25000-SUM(J55+M55+P55))))))))))))+IF(J56&gt;=(25000),0,(((IF((J56+M56)&gt;=(25000),0,((IF((J56+M56+P56)&gt;=(25000),0,(IF((J56+M56+P56+S56)&lt;=(25000),S56,(25000-SUM(J56+M56+P56))))))))))))+IF(J57&gt;=(25000),0,(((IF((J57+M57)&gt;=(25000),0,((IF((J57+M57+P57)&gt;=(25000),0,(IF((J57+M57+P57+S57)&lt;=(25000),S57,(25000-SUM(J57+M57+P57))))))))))))+IF(J58&gt;=(25000),0,(((IF((J58+M58)&gt;=(25000),0,((IF((J58+M58+P58)&gt;=(25000),0,(IF((J58+M58+P58+S58)&lt;=(25000),S58,(25000-SUM(J58+M58+P58))))))))))))+SUM(S61-S40-S52-S55-S56-S57-S58-S53)</f>
        <v>0</v>
      </c>
      <c r="T63" s="165"/>
      <c r="U63" s="201"/>
      <c r="V63" s="74">
        <f>SUM(J63:U63)</f>
        <v>0</v>
      </c>
      <c r="X63" s="76"/>
    </row>
    <row r="64" spans="1:25" ht="15.75">
      <c r="A64" s="33" t="s">
        <v>123</v>
      </c>
      <c r="B64" s="1"/>
      <c r="C64" s="1"/>
      <c r="J64" s="42"/>
      <c r="K64" s="166"/>
      <c r="L64" s="186"/>
      <c r="M64" s="50"/>
      <c r="N64" s="166"/>
      <c r="O64" s="56"/>
      <c r="P64" s="50"/>
      <c r="Q64" s="166"/>
      <c r="R64" s="56"/>
      <c r="S64" s="50"/>
      <c r="T64" s="166"/>
      <c r="U64" s="56"/>
      <c r="V64" s="50"/>
      <c r="W64" s="5"/>
      <c r="Y64" s="75"/>
    </row>
    <row r="65" spans="1:23" ht="15.75">
      <c r="A65" s="13" t="s">
        <v>126</v>
      </c>
      <c r="B65" s="1"/>
      <c r="D65" s="7">
        <f>IF(AND(($E$76)="R",($E$78)="C"),('RATES-Fed'!E43),IF(AND(($E$76)="R",($E$78)="O"),('RATES-Fed'!E48),IF(AND(($E$76)="I",($E$78)="C"),('RATES-Fed'!E44),IF(AND(($E$76)="I",($E$78)="O"),('RATES-Fed'!E49),IF(AND(($E$76)="P",($E$78)="C"),('RATES-Fed'!E45),IF(AND(($E$76)="P",($E$78)="O"),('RATES-Fed'!E50),($E$77)))))))</f>
        <v>0.595</v>
      </c>
      <c r="E65" s="7">
        <f>IF(AND(($E$76)="R",($E$78)="C"),('RATES-Fed'!G43),IF(AND(($E$76)="R",($E$78)="O"),('RATES-Fed'!G48),IF(AND(($E$76)="I",($E$78)="C"),('RATES-Fed'!G44),IF(AND(($E$76)="I",($E$78)="O"),('RATES-Fed'!G49),IF(AND(($E$76)="P",($E$78)="C"),('RATES-Fed'!G45),IF(AND(($E$76)="P",($E$78)="O"),('RATES-Fed'!G50),($E$77)))))))</f>
        <v>0.6</v>
      </c>
      <c r="F65" s="7">
        <f>IF(AND(($E$76)="R",($E$78)="C"),('RATES-Fed'!I43),IF(AND(($E$76)="R",($E$78)="O"),('RATES-Fed'!I48),IF(AND(($E$76)="I",($E$78)="C"),('RATES-Fed'!I44),IF(AND(($E$76)="I",($E$78)="O"),('RATES-Fed'!I49),IF(AND(($E$76)="P",($E$78)="C"),('RATES-Fed'!I45),IF(AND(($E$76)="P",($E$78)="O"),('RATES-Fed'!I50),($E$77)))))))</f>
        <v>0.605</v>
      </c>
      <c r="G65" s="7">
        <f>IF(AND(($E$76)="R",($E$78)="C"),('RATES-Fed'!K43),IF(AND(($E$76)="R",($E$78)="O"),('RATES-Fed'!K48),IF(AND(($E$76)="I",($E$78)="C"),('RATES-Fed'!K44),IF(AND(($E$76)="I",($E$78)="O"),('RATES-Fed'!K49),IF(AND(($E$76)="P",($E$78)="C"),('RATES-Fed'!K45),IF(AND(($E$76)="P",($E$78)="O"),('RATES-Fed'!K50),($E$77)))))))</f>
        <v>0.605</v>
      </c>
      <c r="H65" s="7"/>
      <c r="J65" s="50">
        <f>ROUND(+D65*(J61-J40-J55-J56-J57-J58-J52-J53),0)</f>
        <v>0</v>
      </c>
      <c r="K65" s="160"/>
      <c r="L65" s="180"/>
      <c r="M65" s="50">
        <f>ROUND(+E65*(M61-M40-M55-M56-M57-M58-M52-M53),0)</f>
        <v>0</v>
      </c>
      <c r="N65" s="160"/>
      <c r="O65" s="50"/>
      <c r="P65" s="50">
        <f>ROUND(+F65*(P61-P40-P55-P56-P57-P58-P52-P53),0)</f>
        <v>0</v>
      </c>
      <c r="Q65" s="160"/>
      <c r="R65" s="50"/>
      <c r="S65" s="50">
        <f>ROUND(+G65*(S61-S40-S55-S56-S57-S58-S52-S53),0)</f>
        <v>0</v>
      </c>
      <c r="T65" s="160"/>
      <c r="U65" s="50"/>
      <c r="V65" s="50">
        <f aca="true" t="shared" si="17" ref="V65:V70">SUM(J65:U65)</f>
        <v>0</v>
      </c>
      <c r="W65" s="5"/>
    </row>
    <row r="66" spans="1:23" ht="15.75">
      <c r="A66" s="13" t="s">
        <v>45</v>
      </c>
      <c r="D66" s="7">
        <f aca="true" t="shared" si="18" ref="D66:G68">+D65</f>
        <v>0.595</v>
      </c>
      <c r="E66" s="7">
        <f t="shared" si="18"/>
        <v>0.6</v>
      </c>
      <c r="F66" s="7">
        <f t="shared" si="18"/>
        <v>0.605</v>
      </c>
      <c r="G66" s="7">
        <f t="shared" si="18"/>
        <v>0.605</v>
      </c>
      <c r="H66" s="7"/>
      <c r="J66" s="50">
        <f>(IF((J55)&gt;25000,(25000),J55)*D66)</f>
        <v>0</v>
      </c>
      <c r="K66" s="50"/>
      <c r="L66" s="50"/>
      <c r="M66" s="50">
        <f>IF(J55&gt;=(25000),0,((IF((J55+M55)&lt;=(25000),M55,(25000-J55))))*E66)</f>
        <v>0</v>
      </c>
      <c r="N66" s="284"/>
      <c r="O66" s="50"/>
      <c r="P66" s="50">
        <f>IF(J55&gt;=(25000),0,(((IF((J55+M55)&gt;=(25000),0,((IF((J55+M55+P55)&lt;=(25000),P55,(25000-SUM(J55+M55)))))))))*F66)</f>
        <v>0</v>
      </c>
      <c r="Q66" s="284"/>
      <c r="R66" s="50"/>
      <c r="S66" s="50">
        <f>IF(J55&gt;=(25000),0,(((IF((J55+M55)&gt;=(25000),0,((IF((J55+M55+P55)&gt;=(25000),0,(IF((J55+M55+P55+S55)&lt;=(25000),S55,(25000-SUM(J55+M55+P55)))))))))))*G66)</f>
        <v>0</v>
      </c>
      <c r="T66" s="160"/>
      <c r="U66" s="50"/>
      <c r="V66" s="50">
        <f t="shared" si="17"/>
        <v>0</v>
      </c>
      <c r="W66" s="5"/>
    </row>
    <row r="67" spans="1:23" ht="15.75">
      <c r="A67" s="13" t="s">
        <v>46</v>
      </c>
      <c r="D67" s="7">
        <f t="shared" si="18"/>
        <v>0.595</v>
      </c>
      <c r="E67" s="7">
        <f t="shared" si="18"/>
        <v>0.6</v>
      </c>
      <c r="F67" s="7">
        <f t="shared" si="18"/>
        <v>0.605</v>
      </c>
      <c r="G67" s="7">
        <f t="shared" si="18"/>
        <v>0.605</v>
      </c>
      <c r="H67" s="7"/>
      <c r="J67" s="50">
        <f>(IF((J56)&gt;25000,(25000),J56)*D67)</f>
        <v>0</v>
      </c>
      <c r="K67" s="284"/>
      <c r="L67" s="180"/>
      <c r="M67" s="50">
        <f>IF(J56&gt;=(25000),0,((IF((J56+M56)&lt;=(25000),M56,(25000-J56))))*E67)</f>
        <v>0</v>
      </c>
      <c r="N67" s="284"/>
      <c r="O67" s="50"/>
      <c r="P67" s="50">
        <f>IF(J56&gt;=(25000),0,(((IF((J56+M56)&gt;=(25000),0,((IF((J56+M56+P56)&lt;=(25000),P56,(25000-SUM(J56+M56)))))))))*F67)</f>
        <v>0</v>
      </c>
      <c r="Q67" s="284"/>
      <c r="R67" s="50"/>
      <c r="S67" s="50">
        <f>IF(J56&gt;=(25000),0,(((IF((J56+M56)&gt;=(25000),0,((IF((J56+M56+P56)&gt;=(25000),0,(IF((J56+M56+P56+S56)&lt;=(25000),S56,(25000-SUM(J56+M56+P56)))))))))))*G67)</f>
        <v>0</v>
      </c>
      <c r="T67" s="160"/>
      <c r="U67" s="50"/>
      <c r="V67" s="50">
        <f t="shared" si="17"/>
        <v>0</v>
      </c>
      <c r="W67" s="5"/>
    </row>
    <row r="68" spans="1:23" ht="15.75">
      <c r="A68" s="13" t="s">
        <v>95</v>
      </c>
      <c r="D68" s="7">
        <f t="shared" si="18"/>
        <v>0.595</v>
      </c>
      <c r="E68" s="7">
        <f t="shared" si="18"/>
        <v>0.6</v>
      </c>
      <c r="F68" s="7">
        <f t="shared" si="18"/>
        <v>0.605</v>
      </c>
      <c r="G68" s="7">
        <f t="shared" si="18"/>
        <v>0.605</v>
      </c>
      <c r="H68" s="7"/>
      <c r="J68" s="50">
        <f>(IF((J57)&gt;25000,(25000),J57)*D68)</f>
        <v>0</v>
      </c>
      <c r="K68" s="284"/>
      <c r="L68" s="180"/>
      <c r="M68" s="50">
        <f>IF(J57&gt;=(25000),0,((IF((J57+M57)&lt;=(25000),M57,(25000-J57))))*E68)</f>
        <v>0</v>
      </c>
      <c r="N68" s="284"/>
      <c r="O68" s="50"/>
      <c r="P68" s="50">
        <f>IF(J57&gt;=(25000),0,(((IF((J57+M57)&gt;=(25000),0,((IF((J57+M57+P57)&lt;=(25000),P57,(25000-SUM(J57+M57)))))))))*F68)</f>
        <v>0</v>
      </c>
      <c r="Q68" s="284"/>
      <c r="R68" s="50"/>
      <c r="S68" s="50">
        <f>IF(J57&gt;=(25000),0,(((IF((J57+M57)&gt;=(25000),0,((IF((J57+M57+P57)&gt;=(25000),0,(IF((J57+M57+P57+S57)&lt;=(25000),S57,(25000-SUM(J57+M57+P57)))))))))))*G68)</f>
        <v>0</v>
      </c>
      <c r="T68" s="160"/>
      <c r="U68" s="50"/>
      <c r="V68" s="50">
        <f t="shared" si="17"/>
        <v>0</v>
      </c>
      <c r="W68" s="5"/>
    </row>
    <row r="69" spans="1:23" ht="15.75">
      <c r="A69" s="13" t="s">
        <v>96</v>
      </c>
      <c r="B69" s="1"/>
      <c r="C69" s="1"/>
      <c r="D69" s="7">
        <f>+D66</f>
        <v>0.595</v>
      </c>
      <c r="E69" s="7">
        <f>+E66</f>
        <v>0.6</v>
      </c>
      <c r="F69" s="7">
        <f>+F66</f>
        <v>0.605</v>
      </c>
      <c r="G69" s="7">
        <f>+G66</f>
        <v>0.605</v>
      </c>
      <c r="H69" s="7"/>
      <c r="J69" s="50">
        <f>(IF((J58)&gt;25000,(25000),J58)*D69)</f>
        <v>0</v>
      </c>
      <c r="K69" s="284"/>
      <c r="L69" s="180"/>
      <c r="M69" s="50">
        <f>IF(J58&gt;=(25000),0,((IF((J58+M58)&lt;=(25000),M58,(25000-J58))))*E69)</f>
        <v>0</v>
      </c>
      <c r="N69" s="284"/>
      <c r="O69" s="50"/>
      <c r="P69" s="50">
        <f>IF(J58&gt;=(25000),0,(((IF((J58+M58)&gt;=(25000),0,((IF((J58+M58+P58)&lt;=(25000),P58,(25000-SUM(J58+M58)))))))))*F69)</f>
        <v>0</v>
      </c>
      <c r="Q69" s="284"/>
      <c r="R69" s="50"/>
      <c r="S69" s="50">
        <f>IF(J58&gt;=(25000),0,(((IF((J58+M58)&gt;=(25000),0,((IF((J58+M58+P58)&gt;=(25000),0,(IF((J58+M58+P58+S58)&lt;=(25000),S58,(25000-SUM(J58+M58+P58)))))))))))*G69)</f>
        <v>0</v>
      </c>
      <c r="T69" s="160"/>
      <c r="U69" s="50"/>
      <c r="V69" s="50">
        <f t="shared" si="17"/>
        <v>0</v>
      </c>
      <c r="W69" s="5"/>
    </row>
    <row r="70" spans="1:23" ht="15.75">
      <c r="A70" s="40" t="s">
        <v>125</v>
      </c>
      <c r="B70" s="1"/>
      <c r="C70" s="24"/>
      <c r="D70" s="35"/>
      <c r="E70" s="7"/>
      <c r="F70" s="7"/>
      <c r="G70" s="7"/>
      <c r="H70" s="7"/>
      <c r="I70" s="7"/>
      <c r="J70" s="53">
        <f>SUM(J65:J69)</f>
        <v>0</v>
      </c>
      <c r="K70" s="163"/>
      <c r="L70" s="183"/>
      <c r="M70" s="53">
        <f>SUM(M65:M69)</f>
        <v>0</v>
      </c>
      <c r="N70" s="163"/>
      <c r="O70" s="44"/>
      <c r="P70" s="53">
        <f>SUM(P65:P69)</f>
        <v>0</v>
      </c>
      <c r="Q70" s="163"/>
      <c r="R70" s="44"/>
      <c r="S70" s="53">
        <f>SUM(S65:S69)</f>
        <v>0</v>
      </c>
      <c r="T70" s="163"/>
      <c r="U70" s="44"/>
      <c r="V70" s="53">
        <f t="shared" si="17"/>
        <v>0</v>
      </c>
      <c r="W70" s="5"/>
    </row>
    <row r="71" spans="1:23" ht="6.75" customHeight="1">
      <c r="A71" s="40"/>
      <c r="B71" s="1"/>
      <c r="C71" s="24"/>
      <c r="D71" s="35"/>
      <c r="E71" s="7"/>
      <c r="F71" s="7"/>
      <c r="G71" s="7"/>
      <c r="H71" s="7"/>
      <c r="I71" s="7"/>
      <c r="J71" s="61"/>
      <c r="K71" s="163"/>
      <c r="L71" s="183"/>
      <c r="M71" s="62"/>
      <c r="N71" s="163"/>
      <c r="O71" s="44"/>
      <c r="P71" s="62"/>
      <c r="Q71" s="163"/>
      <c r="R71" s="44"/>
      <c r="S71" s="62"/>
      <c r="T71" s="163"/>
      <c r="U71" s="44"/>
      <c r="V71" s="62"/>
      <c r="W71" s="5"/>
    </row>
    <row r="72" spans="1:23" ht="19.5" thickBot="1">
      <c r="A72" s="40"/>
      <c r="B72" s="1"/>
      <c r="C72" s="60" t="s">
        <v>47</v>
      </c>
      <c r="D72" s="35"/>
      <c r="E72" s="7"/>
      <c r="F72" s="7"/>
      <c r="G72" s="7"/>
      <c r="H72" s="7"/>
      <c r="I72" s="7"/>
      <c r="J72" s="72">
        <f>J70+J61</f>
        <v>0</v>
      </c>
      <c r="K72" s="164"/>
      <c r="L72" s="184"/>
      <c r="M72" s="72">
        <f>M70+M61</f>
        <v>0</v>
      </c>
      <c r="N72" s="164"/>
      <c r="O72" s="65"/>
      <c r="P72" s="72">
        <f>P70+P61</f>
        <v>0</v>
      </c>
      <c r="Q72" s="164"/>
      <c r="R72" s="65"/>
      <c r="S72" s="72">
        <f>S70+S61</f>
        <v>0</v>
      </c>
      <c r="T72" s="164"/>
      <c r="U72" s="65"/>
      <c r="V72" s="72">
        <f>SUM(J72:U72)</f>
        <v>0</v>
      </c>
      <c r="W72" s="5"/>
    </row>
    <row r="73" spans="1:23" ht="8.25" customHeight="1" thickTop="1">
      <c r="A73" s="28"/>
      <c r="B73" s="1"/>
      <c r="C73" s="35"/>
      <c r="D73" s="7"/>
      <c r="E73" s="7"/>
      <c r="F73" s="7"/>
      <c r="G73" s="7"/>
      <c r="H73" s="7"/>
      <c r="I73" s="7"/>
      <c r="J73" s="50"/>
      <c r="K73" s="160"/>
      <c r="L73" s="180"/>
      <c r="M73" s="50"/>
      <c r="N73" s="160"/>
      <c r="O73" s="50"/>
      <c r="P73" s="50"/>
      <c r="Q73" s="160"/>
      <c r="R73" s="50"/>
      <c r="S73" s="50"/>
      <c r="T73" s="160"/>
      <c r="U73" s="50"/>
      <c r="V73" s="50" t="s">
        <v>1</v>
      </c>
      <c r="W73" s="5"/>
    </row>
    <row r="74" spans="1:23" ht="9" customHeight="1">
      <c r="A74" s="1"/>
      <c r="B74" s="1"/>
      <c r="C74" s="1"/>
      <c r="D74" s="1"/>
      <c r="E74" s="1"/>
      <c r="F74" s="1"/>
      <c r="G74" s="1"/>
      <c r="H74" s="1"/>
      <c r="I74" s="1"/>
      <c r="J74" s="49"/>
      <c r="K74" s="167"/>
      <c r="L74" s="187"/>
      <c r="M74" s="58"/>
      <c r="N74" s="167"/>
      <c r="O74" s="57"/>
      <c r="P74" s="58"/>
      <c r="Q74" s="167"/>
      <c r="R74" s="57"/>
      <c r="S74" s="58"/>
      <c r="T74" s="167"/>
      <c r="U74" s="57"/>
      <c r="V74" s="58"/>
      <c r="W74" s="1"/>
    </row>
    <row r="75" ht="15.75">
      <c r="C75" s="36" t="s">
        <v>127</v>
      </c>
    </row>
    <row r="76" spans="3:7" ht="15.75">
      <c r="C76" s="14" t="s">
        <v>48</v>
      </c>
      <c r="E76" s="15" t="s">
        <v>49</v>
      </c>
      <c r="G76" s="14" t="s">
        <v>50</v>
      </c>
    </row>
    <row r="77" spans="3:6" ht="15.75">
      <c r="C77" s="14" t="s">
        <v>206</v>
      </c>
      <c r="E77" s="9">
        <v>0.1</v>
      </c>
      <c r="F77" s="9"/>
    </row>
    <row r="78" spans="3:7" ht="15.75">
      <c r="C78" s="14" t="s">
        <v>51</v>
      </c>
      <c r="E78" s="175" t="s">
        <v>52</v>
      </c>
      <c r="G78" s="14" t="s">
        <v>53</v>
      </c>
    </row>
    <row r="80" spans="4:19" ht="15.75">
      <c r="D80" s="228" t="s">
        <v>235</v>
      </c>
      <c r="H80" s="226">
        <f>+'RATES-Fed'!E29</f>
        <v>0.595</v>
      </c>
      <c r="J80" s="225">
        <f>J70/12*'RATES-Fed'!$C$43</f>
        <v>0</v>
      </c>
      <c r="L80" s="226">
        <f>+'RATES-Fed'!G29</f>
        <v>0.6</v>
      </c>
      <c r="M80" s="225">
        <f>M70/12*'RATES-Fed'!$C$43</f>
        <v>0</v>
      </c>
      <c r="O80" s="227">
        <f>+'RATES-Fed'!I29</f>
        <v>0.605</v>
      </c>
      <c r="P80" s="225">
        <f>P70/12*'RATES-Fed'!$C$43</f>
        <v>0</v>
      </c>
      <c r="R80" s="227">
        <f>+'RATES-Fed'!K29</f>
        <v>0.605</v>
      </c>
      <c r="S80" s="225">
        <f>S70/12*'RATES-Fed'!$C$43</f>
        <v>0</v>
      </c>
    </row>
    <row r="81" spans="4:19" ht="15.75" customHeight="1">
      <c r="D81" s="298" t="s">
        <v>236</v>
      </c>
      <c r="E81" s="298"/>
      <c r="F81" s="298"/>
      <c r="G81" s="298"/>
      <c r="H81" s="226">
        <f>+'RATES-Fed'!G29</f>
        <v>0.6</v>
      </c>
      <c r="J81" s="225">
        <f>J70/12*'RATES-Fed'!$D$43</f>
        <v>0</v>
      </c>
      <c r="L81" s="226">
        <f>+'RATES-Fed'!I29</f>
        <v>0.605</v>
      </c>
      <c r="M81" s="225">
        <f>M70/12*'RATES-Fed'!$D$43</f>
        <v>0</v>
      </c>
      <c r="O81" s="227">
        <f>+'RATES-Fed'!K29</f>
        <v>0.605</v>
      </c>
      <c r="P81" s="225">
        <f>P70/12*'RATES-Fed'!$D$43</f>
        <v>0</v>
      </c>
      <c r="R81" s="227">
        <f>+'RATES-Fed'!M29</f>
        <v>0.605</v>
      </c>
      <c r="S81" s="225">
        <f>S70/12*'RATES-Fed'!$D$43</f>
        <v>0</v>
      </c>
    </row>
    <row r="82" spans="4:23" ht="18.75">
      <c r="D82" s="298"/>
      <c r="E82" s="298"/>
      <c r="F82" s="298"/>
      <c r="G82" s="298"/>
      <c r="J82" s="225">
        <f>SUM(J80:J81)</f>
        <v>0</v>
      </c>
      <c r="M82" s="225">
        <f>SUM(M80:M81)</f>
        <v>0</v>
      </c>
      <c r="P82" s="225">
        <f>SUM(P80:P81)</f>
        <v>0</v>
      </c>
      <c r="S82" s="225">
        <f>SUM(S80:S81)</f>
        <v>0</v>
      </c>
      <c r="U82" s="309">
        <f>'RATES-Fed'!Q64</f>
        <v>0</v>
      </c>
      <c r="V82" s="309"/>
      <c r="W82" s="309"/>
    </row>
  </sheetData>
  <sheetProtection/>
  <mergeCells count="7">
    <mergeCell ref="D81:G82"/>
    <mergeCell ref="K4:U5"/>
    <mergeCell ref="J8:L8"/>
    <mergeCell ref="M8:O8"/>
    <mergeCell ref="P8:R8"/>
    <mergeCell ref="S8:U8"/>
    <mergeCell ref="U82:W82"/>
  </mergeCells>
  <dataValidations count="1">
    <dataValidation type="list" allowBlank="1" showInputMessage="1" showErrorMessage="1" sqref="D11 D13 D15 D17:D18">
      <formula1>APPTS</formula1>
    </dataValidation>
  </dataValidations>
  <hyperlinks>
    <hyperlink ref="C52" r:id="rId1" display="UC Tuition rates (Not Subject to Indirect)"/>
  </hyperlinks>
  <printOptions horizontalCentered="1"/>
  <pageMargins left="0.5" right="0.3" top="0.5" bottom="0.5" header="0.5" footer="0.5"/>
  <pageSetup fitToHeight="1" fitToWidth="1" horizontalDpi="300" verticalDpi="300" orientation="landscape" scale="46" r:id="rId4"/>
  <legacyDrawing r:id="rId3"/>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AB85"/>
  <sheetViews>
    <sheetView showGridLines="0" zoomScale="75" zoomScaleNormal="75" workbookViewId="0" topLeftCell="J1">
      <selection activeCell="J1" sqref="J1"/>
    </sheetView>
  </sheetViews>
  <sheetFormatPr defaultColWidth="9.625" defaultRowHeight="15.75"/>
  <cols>
    <col min="1" max="2" width="2.625" style="0" customWidth="1"/>
    <col min="3" max="3" width="20.50390625" style="0" customWidth="1"/>
    <col min="4" max="4" width="16.125" style="0" customWidth="1"/>
    <col min="5" max="6" width="7.625" style="0" customWidth="1"/>
    <col min="7" max="7" width="9.875" style="0" customWidth="1"/>
    <col min="8" max="8" width="7.25390625" style="0" customWidth="1"/>
    <col min="9" max="9" width="7.25390625" style="0" hidden="1" customWidth="1"/>
    <col min="10" max="10" width="13.75390625" style="0" customWidth="1"/>
    <col min="11" max="11" width="8.125" style="168" bestFit="1" customWidth="1"/>
    <col min="12" max="12" width="10.125" style="188" bestFit="1" customWidth="1"/>
    <col min="13" max="13" width="11.25390625" style="0" customWidth="1"/>
    <col min="14" max="14" width="9.25390625" style="168" bestFit="1" customWidth="1"/>
    <col min="15" max="15" width="9.50390625" style="96" bestFit="1" customWidth="1"/>
    <col min="16" max="16" width="11.25390625" style="0" customWidth="1"/>
    <col min="17" max="17" width="9.25390625" style="168" bestFit="1" customWidth="1"/>
    <col min="18" max="18" width="8.75390625" style="96" bestFit="1" customWidth="1"/>
    <col min="19" max="19" width="11.25390625" style="0" customWidth="1"/>
    <col min="20" max="20" width="9.25390625" style="168" bestFit="1" customWidth="1"/>
    <col min="21" max="21" width="8.75390625" style="96" bestFit="1" customWidth="1"/>
    <col min="22" max="22" width="11.25390625" style="0" customWidth="1"/>
    <col min="23" max="23" width="9.25390625" style="168" bestFit="1" customWidth="1"/>
    <col min="24" max="24" width="8.75390625" style="96" bestFit="1" customWidth="1"/>
    <col min="25" max="25" width="14.625" style="0" customWidth="1"/>
    <col min="26" max="26" width="2.625" style="0" customWidth="1"/>
  </cols>
  <sheetData>
    <row r="1" spans="1:24" ht="18.75">
      <c r="A1" s="17" t="s">
        <v>0</v>
      </c>
      <c r="B1" s="18"/>
      <c r="C1" s="18"/>
      <c r="D1" s="18"/>
      <c r="E1" s="18"/>
      <c r="F1" s="18"/>
      <c r="G1" s="18"/>
      <c r="H1" s="18"/>
      <c r="I1" s="18"/>
      <c r="J1" s="19"/>
      <c r="K1" s="154"/>
      <c r="L1" s="176"/>
      <c r="M1" s="37"/>
      <c r="N1" s="169"/>
      <c r="O1" s="199"/>
      <c r="P1" s="37"/>
      <c r="Q1" s="169"/>
      <c r="R1" s="199"/>
      <c r="S1" s="37"/>
      <c r="T1" s="169"/>
      <c r="U1" s="199"/>
      <c r="V1" s="37"/>
      <c r="W1" s="169"/>
      <c r="X1" s="199"/>
    </row>
    <row r="2" spans="1:25" ht="18.75">
      <c r="A2" s="17" t="s">
        <v>94</v>
      </c>
      <c r="B2" s="18"/>
      <c r="C2" s="18"/>
      <c r="D2" s="18"/>
      <c r="E2" s="18"/>
      <c r="F2" s="18"/>
      <c r="G2" s="18"/>
      <c r="H2" s="18"/>
      <c r="I2" s="18"/>
      <c r="J2" s="19"/>
      <c r="K2" s="154"/>
      <c r="L2" s="176"/>
      <c r="M2" s="37"/>
      <c r="N2" s="169"/>
      <c r="O2" s="199"/>
      <c r="P2" s="37"/>
      <c r="Q2" s="169"/>
      <c r="R2" s="199"/>
      <c r="S2" s="37"/>
      <c r="T2" s="169"/>
      <c r="U2" s="199"/>
      <c r="V2" s="37"/>
      <c r="W2" s="169"/>
      <c r="X2" s="199"/>
      <c r="Y2" s="37"/>
    </row>
    <row r="3" spans="1:25" ht="9.75" customHeight="1">
      <c r="A3" s="10" t="s">
        <v>1</v>
      </c>
      <c r="B3" s="1"/>
      <c r="J3" s="11" t="s">
        <v>1</v>
      </c>
      <c r="K3" s="155"/>
      <c r="L3" s="177"/>
      <c r="M3" s="8"/>
      <c r="P3" s="8"/>
      <c r="S3" s="8"/>
      <c r="V3" s="8"/>
      <c r="Y3" s="8"/>
    </row>
    <row r="4" spans="1:25" ht="15.75">
      <c r="A4" s="22" t="s">
        <v>2</v>
      </c>
      <c r="B4" s="1"/>
      <c r="D4" s="10" t="s">
        <v>72</v>
      </c>
      <c r="G4" s="3"/>
      <c r="J4" s="20" t="s">
        <v>3</v>
      </c>
      <c r="K4" s="299" t="s">
        <v>72</v>
      </c>
      <c r="L4" s="300"/>
      <c r="M4" s="301"/>
      <c r="N4" s="301"/>
      <c r="O4" s="301"/>
      <c r="P4" s="301"/>
      <c r="Q4" s="301"/>
      <c r="R4" s="301"/>
      <c r="S4" s="301"/>
      <c r="T4" s="301"/>
      <c r="U4" s="301"/>
      <c r="V4" s="311"/>
      <c r="W4" s="156"/>
      <c r="X4" s="151"/>
      <c r="Y4" s="8"/>
    </row>
    <row r="5" spans="1:25" ht="18.75">
      <c r="A5" s="22" t="s">
        <v>4</v>
      </c>
      <c r="B5" s="1"/>
      <c r="D5" s="10" t="s">
        <v>72</v>
      </c>
      <c r="E5" s="3"/>
      <c r="F5" s="3"/>
      <c r="H5" s="2"/>
      <c r="I5" s="2"/>
      <c r="J5" s="38"/>
      <c r="K5" s="303"/>
      <c r="L5" s="304"/>
      <c r="M5" s="304"/>
      <c r="N5" s="304"/>
      <c r="O5" s="304"/>
      <c r="P5" s="304"/>
      <c r="Q5" s="304"/>
      <c r="R5" s="304"/>
      <c r="S5" s="304"/>
      <c r="T5" s="304"/>
      <c r="U5" s="304"/>
      <c r="V5" s="312"/>
      <c r="W5" s="156"/>
      <c r="X5" s="151"/>
      <c r="Y5" s="8"/>
    </row>
    <row r="6" spans="1:25" ht="15.75">
      <c r="A6" s="14"/>
      <c r="B6" s="22" t="s">
        <v>5</v>
      </c>
      <c r="D6" s="73">
        <f>'RATES-Fed'!E2</f>
        <v>42917</v>
      </c>
      <c r="E6" s="12" t="s">
        <v>6</v>
      </c>
      <c r="F6" s="12"/>
      <c r="G6" s="73">
        <f>'RATES-Fed'!G2</f>
        <v>44742</v>
      </c>
      <c r="H6" s="4"/>
      <c r="I6" s="4"/>
      <c r="J6" s="2"/>
      <c r="K6" s="156"/>
      <c r="L6" s="178"/>
      <c r="M6" s="3"/>
      <c r="N6" s="156"/>
      <c r="O6" s="151"/>
      <c r="P6" s="3"/>
      <c r="Q6" s="156"/>
      <c r="R6" s="151"/>
      <c r="S6" s="3"/>
      <c r="T6" s="156"/>
      <c r="U6" s="151"/>
      <c r="V6" s="3"/>
      <c r="W6" s="156"/>
      <c r="X6" s="151"/>
      <c r="Y6" s="8"/>
    </row>
    <row r="7" spans="5:26" ht="7.5" customHeight="1">
      <c r="E7" s="3"/>
      <c r="F7" s="3"/>
      <c r="G7" s="1"/>
      <c r="H7" s="1"/>
      <c r="I7" s="1"/>
      <c r="J7" s="16" t="s">
        <v>1</v>
      </c>
      <c r="K7" s="155"/>
      <c r="L7" s="177"/>
      <c r="M7" s="8"/>
      <c r="N7" s="155"/>
      <c r="O7" s="145"/>
      <c r="P7" s="8"/>
      <c r="Q7" s="155"/>
      <c r="R7" s="145"/>
      <c r="S7" s="8"/>
      <c r="T7" s="155"/>
      <c r="U7" s="145"/>
      <c r="V7" s="8"/>
      <c r="W7" s="155"/>
      <c r="X7" s="145"/>
      <c r="Y7" s="8"/>
      <c r="Z7" s="1"/>
    </row>
    <row r="8" spans="1:26" ht="15.75">
      <c r="A8" s="21"/>
      <c r="B8" s="21"/>
      <c r="C8" s="21"/>
      <c r="D8" s="21"/>
      <c r="E8" s="21"/>
      <c r="F8" s="21"/>
      <c r="G8" s="21"/>
      <c r="H8" s="21"/>
      <c r="I8" s="21"/>
      <c r="J8" s="288" t="s">
        <v>22</v>
      </c>
      <c r="K8" s="289"/>
      <c r="L8" s="290"/>
      <c r="M8" s="306" t="s">
        <v>55</v>
      </c>
      <c r="N8" s="307"/>
      <c r="O8" s="308"/>
      <c r="P8" s="306" t="s">
        <v>57</v>
      </c>
      <c r="Q8" s="307"/>
      <c r="R8" s="308"/>
      <c r="S8" s="306" t="s">
        <v>59</v>
      </c>
      <c r="T8" s="307"/>
      <c r="U8" s="308"/>
      <c r="V8" s="306" t="s">
        <v>61</v>
      </c>
      <c r="W8" s="307"/>
      <c r="X8" s="308"/>
      <c r="Y8" s="174" t="s">
        <v>8</v>
      </c>
      <c r="Z8" s="21"/>
    </row>
    <row r="9" spans="1:26" s="149" customFormat="1" ht="15.75">
      <c r="A9" s="147" t="s">
        <v>9</v>
      </c>
      <c r="B9" s="147" t="s">
        <v>10</v>
      </c>
      <c r="C9" s="147"/>
      <c r="D9" s="147"/>
      <c r="E9" s="147"/>
      <c r="F9" s="147"/>
      <c r="G9" s="147"/>
      <c r="H9" s="147"/>
      <c r="I9" s="147"/>
      <c r="J9" s="192" t="s">
        <v>211</v>
      </c>
      <c r="K9" s="157" t="s">
        <v>212</v>
      </c>
      <c r="L9" s="147" t="s">
        <v>213</v>
      </c>
      <c r="M9" s="198" t="s">
        <v>211</v>
      </c>
      <c r="N9" s="157" t="s">
        <v>212</v>
      </c>
      <c r="O9" s="147" t="s">
        <v>213</v>
      </c>
      <c r="P9" s="198" t="s">
        <v>211</v>
      </c>
      <c r="Q9" s="157" t="s">
        <v>212</v>
      </c>
      <c r="R9" s="147" t="s">
        <v>213</v>
      </c>
      <c r="S9" s="198" t="s">
        <v>211</v>
      </c>
      <c r="T9" s="157" t="s">
        <v>212</v>
      </c>
      <c r="U9" s="147" t="s">
        <v>213</v>
      </c>
      <c r="V9" s="198" t="s">
        <v>211</v>
      </c>
      <c r="W9" s="157" t="s">
        <v>212</v>
      </c>
      <c r="X9" s="147" t="s">
        <v>213</v>
      </c>
      <c r="Y9" s="148"/>
      <c r="Z9" s="147"/>
    </row>
    <row r="10" spans="1:26" ht="15.75">
      <c r="A10" s="1"/>
      <c r="B10" s="23" t="s">
        <v>11</v>
      </c>
      <c r="C10" s="24"/>
      <c r="D10" s="24" t="s">
        <v>104</v>
      </c>
      <c r="E10" s="1" t="s">
        <v>12</v>
      </c>
      <c r="F10" s="41" t="s">
        <v>130</v>
      </c>
      <c r="G10" s="41" t="s">
        <v>13</v>
      </c>
      <c r="H10" s="1"/>
      <c r="I10" s="1"/>
      <c r="J10" s="193"/>
      <c r="K10" s="155"/>
      <c r="L10" s="145"/>
      <c r="M10" s="193"/>
      <c r="N10" s="155"/>
      <c r="O10" s="145"/>
      <c r="P10" s="193"/>
      <c r="Q10" s="155"/>
      <c r="R10" s="145"/>
      <c r="S10" s="193"/>
      <c r="T10" s="155"/>
      <c r="U10" s="145"/>
      <c r="V10" s="193"/>
      <c r="W10" s="155"/>
      <c r="X10" s="145"/>
      <c r="Y10" s="2">
        <f>IF(SUM(J10:N10)=0,"",SUM(J10:N10))</f>
      </c>
      <c r="Z10" s="1"/>
    </row>
    <row r="11" spans="1:26" ht="15.75">
      <c r="A11" s="1"/>
      <c r="B11" s="1" t="s">
        <v>14</v>
      </c>
      <c r="C11" s="10" t="str">
        <f>+D5</f>
        <v>name</v>
      </c>
      <c r="D11" s="142" t="s">
        <v>132</v>
      </c>
      <c r="E11" s="70">
        <v>0</v>
      </c>
      <c r="F11" s="101">
        <f aca="true" t="shared" si="0" ref="F11:F18">IF(D11="CAL",(52*E11/4.3333),(IF(D11="ACAD",(32*E11/4.33333),IF(D11="SUMR",(14*E11/4.33333),IF(D11="PT",(0),0)))))</f>
        <v>0</v>
      </c>
      <c r="G11" s="69">
        <v>0</v>
      </c>
      <c r="J11" s="190">
        <f>ROUND(G11*E11,0)</f>
        <v>0</v>
      </c>
      <c r="K11" s="158">
        <f>ROUND(J11*'RATES-Fed'!E36,0)</f>
        <v>0</v>
      </c>
      <c r="L11" s="67">
        <f>ROUND(K11+J11,0)</f>
        <v>0</v>
      </c>
      <c r="M11" s="190">
        <f>ROUND((J11*1.02),0)</f>
        <v>0</v>
      </c>
      <c r="N11" s="158">
        <f>ROUND(M11*'RATES-Fed'!G36,0)</f>
        <v>0</v>
      </c>
      <c r="O11" s="67">
        <f aca="true" t="shared" si="1" ref="O11:O18">ROUND(M11+N11,0)</f>
        <v>0</v>
      </c>
      <c r="P11" s="190">
        <f>ROUND((M11*1.02),0)</f>
        <v>0</v>
      </c>
      <c r="Q11" s="158">
        <f>ROUND(P11*'RATES-Fed'!I36,0)</f>
        <v>0</v>
      </c>
      <c r="R11" s="67">
        <f>SUM(P11:Q11)</f>
        <v>0</v>
      </c>
      <c r="S11" s="190">
        <f>ROUND((P11*1.02),0)</f>
        <v>0</v>
      </c>
      <c r="T11" s="158">
        <f>ROUND(S11*'RATES-Fed'!K36,0)</f>
        <v>0</v>
      </c>
      <c r="U11" s="67">
        <f>SUM(S11:T11)</f>
        <v>0</v>
      </c>
      <c r="V11" s="190">
        <f>ROUND((S11*1.02),0)</f>
        <v>0</v>
      </c>
      <c r="W11" s="158">
        <f>ROUND(V11*'RATES-Fed'!M36,0)</f>
        <v>0</v>
      </c>
      <c r="X11" s="67">
        <f>SUM(V11:W11)</f>
        <v>0</v>
      </c>
      <c r="Y11" s="42">
        <f>SUM(L11+O11+R11+U11+X11)</f>
        <v>0</v>
      </c>
      <c r="Z11" s="1"/>
    </row>
    <row r="12" spans="1:26" ht="15.75">
      <c r="A12" s="1"/>
      <c r="B12" s="1" t="s">
        <v>14</v>
      </c>
      <c r="C12" s="3"/>
      <c r="D12" s="142" t="str">
        <f>IF(D11="ACAD",("SUMR"),"")</f>
        <v>SUMR</v>
      </c>
      <c r="E12" s="70">
        <v>0</v>
      </c>
      <c r="F12" s="101">
        <f t="shared" si="0"/>
        <v>0</v>
      </c>
      <c r="G12" s="69">
        <f>+G11*0.4375</f>
        <v>0</v>
      </c>
      <c r="J12" s="190">
        <f aca="true" t="shared" si="2" ref="J12:J18">ROUND(G12*E12,0)</f>
        <v>0</v>
      </c>
      <c r="K12" s="158">
        <f>ROUND(J12*'RATES-Fed'!E36,0)</f>
        <v>0</v>
      </c>
      <c r="L12" s="67">
        <f aca="true" t="shared" si="3" ref="L12:L18">ROUND(K12+J12,0)</f>
        <v>0</v>
      </c>
      <c r="M12" s="190">
        <f aca="true" t="shared" si="4" ref="M12:M18">ROUND((J12*1.02),0)</f>
        <v>0</v>
      </c>
      <c r="N12" s="158">
        <f>ROUND(M12*'RATES-Fed'!G36,0)</f>
        <v>0</v>
      </c>
      <c r="O12" s="67">
        <f t="shared" si="1"/>
        <v>0</v>
      </c>
      <c r="P12" s="190">
        <f aca="true" t="shared" si="5" ref="P12:P18">ROUND((M12*1.02),0)</f>
        <v>0</v>
      </c>
      <c r="Q12" s="158">
        <f>ROUND(P12*'RATES-Fed'!I36,0)</f>
        <v>0</v>
      </c>
      <c r="R12" s="67">
        <f aca="true" t="shared" si="6" ref="R12:R18">SUM(P12:Q12)</f>
        <v>0</v>
      </c>
      <c r="S12" s="190">
        <f aca="true" t="shared" si="7" ref="S12:S18">ROUND((P12*1.02),0)</f>
        <v>0</v>
      </c>
      <c r="T12" s="158">
        <f>ROUND(S12*'RATES-Fed'!K36,0)</f>
        <v>0</v>
      </c>
      <c r="U12" s="67">
        <f aca="true" t="shared" si="8" ref="U12:U18">SUM(S12:T12)</f>
        <v>0</v>
      </c>
      <c r="V12" s="190">
        <f aca="true" t="shared" si="9" ref="V12:V18">ROUND((S12*1.02),0)</f>
        <v>0</v>
      </c>
      <c r="W12" s="158">
        <f>ROUND(V12*'RATES-Fed'!M36,0)</f>
        <v>0</v>
      </c>
      <c r="X12" s="67">
        <f aca="true" t="shared" si="10" ref="X12:X18">SUM(V12:W12)</f>
        <v>0</v>
      </c>
      <c r="Y12" s="42">
        <f aca="true" t="shared" si="11" ref="Y12:Y32">SUM(L12+O12+R12+U12+X12)</f>
        <v>0</v>
      </c>
      <c r="Z12" s="1"/>
    </row>
    <row r="13" spans="1:26" ht="15.75">
      <c r="A13" s="1"/>
      <c r="B13" s="1" t="s">
        <v>15</v>
      </c>
      <c r="C13" s="3"/>
      <c r="D13" s="142" t="s">
        <v>132</v>
      </c>
      <c r="E13" s="70">
        <v>0</v>
      </c>
      <c r="F13" s="101">
        <f t="shared" si="0"/>
        <v>0</v>
      </c>
      <c r="G13" s="69">
        <v>0</v>
      </c>
      <c r="J13" s="190">
        <f t="shared" si="2"/>
        <v>0</v>
      </c>
      <c r="K13" s="158">
        <f>ROUND(J13*'RATES-Fed'!E36,0)</f>
        <v>0</v>
      </c>
      <c r="L13" s="67">
        <f t="shared" si="3"/>
        <v>0</v>
      </c>
      <c r="M13" s="190">
        <f t="shared" si="4"/>
        <v>0</v>
      </c>
      <c r="N13" s="158">
        <f>ROUND(M13*'RATES-Fed'!G36,0)</f>
        <v>0</v>
      </c>
      <c r="O13" s="67">
        <f t="shared" si="1"/>
        <v>0</v>
      </c>
      <c r="P13" s="190">
        <f t="shared" si="5"/>
        <v>0</v>
      </c>
      <c r="Q13" s="158">
        <f>ROUND(P13*'RATES-Fed'!I36,0)</f>
        <v>0</v>
      </c>
      <c r="R13" s="67">
        <f t="shared" si="6"/>
        <v>0</v>
      </c>
      <c r="S13" s="190">
        <f t="shared" si="7"/>
        <v>0</v>
      </c>
      <c r="T13" s="158">
        <f>ROUND(S13*'RATES-Fed'!K36,0)</f>
        <v>0</v>
      </c>
      <c r="U13" s="67">
        <f t="shared" si="8"/>
        <v>0</v>
      </c>
      <c r="V13" s="190">
        <f t="shared" si="9"/>
        <v>0</v>
      </c>
      <c r="W13" s="158">
        <f>ROUND(V13*'RATES-Fed'!M36,0)</f>
        <v>0</v>
      </c>
      <c r="X13" s="67">
        <f t="shared" si="10"/>
        <v>0</v>
      </c>
      <c r="Y13" s="42">
        <f t="shared" si="11"/>
        <v>0</v>
      </c>
      <c r="Z13" s="1"/>
    </row>
    <row r="14" spans="1:25" ht="15.75">
      <c r="A14" s="1"/>
      <c r="B14" s="1"/>
      <c r="C14" s="3"/>
      <c r="D14" s="142" t="str">
        <f>IF(D13="ACAD",("SUMR"),"")</f>
        <v>SUMR</v>
      </c>
      <c r="E14" s="70">
        <v>0</v>
      </c>
      <c r="F14" s="101">
        <f t="shared" si="0"/>
        <v>0</v>
      </c>
      <c r="G14" s="69">
        <f>+G13*0.4375</f>
        <v>0</v>
      </c>
      <c r="J14" s="190">
        <f t="shared" si="2"/>
        <v>0</v>
      </c>
      <c r="K14" s="158">
        <f>ROUND(J14*'RATES-Fed'!E36,0)</f>
        <v>0</v>
      </c>
      <c r="L14" s="67">
        <f t="shared" si="3"/>
        <v>0</v>
      </c>
      <c r="M14" s="190">
        <f t="shared" si="4"/>
        <v>0</v>
      </c>
      <c r="N14" s="158">
        <f>ROUND(M14*'RATES-Fed'!G36,0)</f>
        <v>0</v>
      </c>
      <c r="O14" s="67">
        <f t="shared" si="1"/>
        <v>0</v>
      </c>
      <c r="P14" s="190">
        <f t="shared" si="5"/>
        <v>0</v>
      </c>
      <c r="Q14" s="158">
        <f>ROUND(P14*'RATES-Fed'!I36,0)</f>
        <v>0</v>
      </c>
      <c r="R14" s="67">
        <f t="shared" si="6"/>
        <v>0</v>
      </c>
      <c r="S14" s="190">
        <f t="shared" si="7"/>
        <v>0</v>
      </c>
      <c r="T14" s="158">
        <f>ROUND(S14*'RATES-Fed'!K36,0)</f>
        <v>0</v>
      </c>
      <c r="U14" s="67">
        <f t="shared" si="8"/>
        <v>0</v>
      </c>
      <c r="V14" s="190">
        <f t="shared" si="9"/>
        <v>0</v>
      </c>
      <c r="W14" s="158">
        <f>ROUND(V14*'RATES-Fed'!M36,0)</f>
        <v>0</v>
      </c>
      <c r="X14" s="67">
        <f t="shared" si="10"/>
        <v>0</v>
      </c>
      <c r="Y14" s="42">
        <f t="shared" si="11"/>
        <v>0</v>
      </c>
    </row>
    <row r="15" spans="1:26" ht="15.75">
      <c r="A15" s="1"/>
      <c r="B15" s="1" t="s">
        <v>15</v>
      </c>
      <c r="C15" s="3"/>
      <c r="D15" s="142" t="s">
        <v>132</v>
      </c>
      <c r="E15" s="70">
        <v>0</v>
      </c>
      <c r="F15" s="101">
        <f t="shared" si="0"/>
        <v>0</v>
      </c>
      <c r="G15" s="69">
        <v>0</v>
      </c>
      <c r="J15" s="190">
        <f t="shared" si="2"/>
        <v>0</v>
      </c>
      <c r="K15" s="158">
        <f>ROUND(J15*'RATES-Fed'!E36,0)</f>
        <v>0</v>
      </c>
      <c r="L15" s="67">
        <f t="shared" si="3"/>
        <v>0</v>
      </c>
      <c r="M15" s="190">
        <f t="shared" si="4"/>
        <v>0</v>
      </c>
      <c r="N15" s="158">
        <f>ROUND(M15*'RATES-Fed'!G36,0)</f>
        <v>0</v>
      </c>
      <c r="O15" s="67">
        <f t="shared" si="1"/>
        <v>0</v>
      </c>
      <c r="P15" s="190">
        <f t="shared" si="5"/>
        <v>0</v>
      </c>
      <c r="Q15" s="158">
        <f>ROUND(P15*'RATES-Fed'!I36,0)</f>
        <v>0</v>
      </c>
      <c r="R15" s="67">
        <f t="shared" si="6"/>
        <v>0</v>
      </c>
      <c r="S15" s="190">
        <f t="shared" si="7"/>
        <v>0</v>
      </c>
      <c r="T15" s="158">
        <f>ROUND(S15*'RATES-Fed'!K36,0)</f>
        <v>0</v>
      </c>
      <c r="U15" s="67">
        <f t="shared" si="8"/>
        <v>0</v>
      </c>
      <c r="V15" s="190">
        <f t="shared" si="9"/>
        <v>0</v>
      </c>
      <c r="W15" s="158">
        <f>ROUND(V15*'RATES-Fed'!M36,0)</f>
        <v>0</v>
      </c>
      <c r="X15" s="67">
        <f t="shared" si="10"/>
        <v>0</v>
      </c>
      <c r="Y15" s="42">
        <f t="shared" si="11"/>
        <v>0</v>
      </c>
      <c r="Z15" s="1"/>
    </row>
    <row r="16" spans="1:25" ht="15.75">
      <c r="A16" s="1"/>
      <c r="B16" s="1"/>
      <c r="C16" s="3"/>
      <c r="D16" s="142" t="str">
        <f>IF(D15="ACAD",("SUMR"),"")</f>
        <v>SUMR</v>
      </c>
      <c r="E16" s="70">
        <v>0</v>
      </c>
      <c r="F16" s="101">
        <f t="shared" si="0"/>
        <v>0</v>
      </c>
      <c r="G16" s="69">
        <f>+G15*0.4375</f>
        <v>0</v>
      </c>
      <c r="J16" s="190">
        <f t="shared" si="2"/>
        <v>0</v>
      </c>
      <c r="K16" s="158">
        <f>ROUND(J16*'RATES-Fed'!E36,0)</f>
        <v>0</v>
      </c>
      <c r="L16" s="67">
        <f t="shared" si="3"/>
        <v>0</v>
      </c>
      <c r="M16" s="190">
        <f t="shared" si="4"/>
        <v>0</v>
      </c>
      <c r="N16" s="158">
        <f>ROUND(M16*'RATES-Fed'!G36,0)</f>
        <v>0</v>
      </c>
      <c r="O16" s="67">
        <f t="shared" si="1"/>
        <v>0</v>
      </c>
      <c r="P16" s="190">
        <f t="shared" si="5"/>
        <v>0</v>
      </c>
      <c r="Q16" s="158">
        <f>ROUND(P16*'RATES-Fed'!I36,0)</f>
        <v>0</v>
      </c>
      <c r="R16" s="67">
        <f t="shared" si="6"/>
        <v>0</v>
      </c>
      <c r="S16" s="190">
        <f t="shared" si="7"/>
        <v>0</v>
      </c>
      <c r="T16" s="158">
        <f>ROUND(S16*'RATES-Fed'!K36,0)</f>
        <v>0</v>
      </c>
      <c r="U16" s="67">
        <f t="shared" si="8"/>
        <v>0</v>
      </c>
      <c r="V16" s="190">
        <f t="shared" si="9"/>
        <v>0</v>
      </c>
      <c r="W16" s="158">
        <f>ROUND(V16*'RATES-Fed'!M36,0)</f>
        <v>0</v>
      </c>
      <c r="X16" s="67">
        <f t="shared" si="10"/>
        <v>0</v>
      </c>
      <c r="Y16" s="42">
        <f t="shared" si="11"/>
        <v>0</v>
      </c>
    </row>
    <row r="17" spans="1:26" ht="15.75">
      <c r="A17" s="1"/>
      <c r="B17" s="1" t="s">
        <v>15</v>
      </c>
      <c r="C17" s="3"/>
      <c r="D17" s="142" t="s">
        <v>131</v>
      </c>
      <c r="E17" s="70">
        <v>0</v>
      </c>
      <c r="F17" s="101">
        <f t="shared" si="0"/>
        <v>0</v>
      </c>
      <c r="G17" s="69">
        <v>0</v>
      </c>
      <c r="J17" s="190">
        <f t="shared" si="2"/>
        <v>0</v>
      </c>
      <c r="K17" s="158">
        <f>ROUND(J17*'RATES-Fed'!E36,0)</f>
        <v>0</v>
      </c>
      <c r="L17" s="67">
        <f t="shared" si="3"/>
        <v>0</v>
      </c>
      <c r="M17" s="190">
        <f t="shared" si="4"/>
        <v>0</v>
      </c>
      <c r="N17" s="158">
        <f>ROUND(M17*'RATES-Fed'!G36,0)</f>
        <v>0</v>
      </c>
      <c r="O17" s="67">
        <f t="shared" si="1"/>
        <v>0</v>
      </c>
      <c r="P17" s="190">
        <f t="shared" si="5"/>
        <v>0</v>
      </c>
      <c r="Q17" s="158">
        <f>ROUND(P17*'RATES-Fed'!I36,0)</f>
        <v>0</v>
      </c>
      <c r="R17" s="67">
        <f t="shared" si="6"/>
        <v>0</v>
      </c>
      <c r="S17" s="190">
        <f t="shared" si="7"/>
        <v>0</v>
      </c>
      <c r="T17" s="158">
        <f>ROUND(S17*'RATES-Fed'!K36,0)</f>
        <v>0</v>
      </c>
      <c r="U17" s="67">
        <f t="shared" si="8"/>
        <v>0</v>
      </c>
      <c r="V17" s="190">
        <f t="shared" si="9"/>
        <v>0</v>
      </c>
      <c r="W17" s="158">
        <f>ROUND(V17*'RATES-Fed'!M36,0)</f>
        <v>0</v>
      </c>
      <c r="X17" s="67">
        <f t="shared" si="10"/>
        <v>0</v>
      </c>
      <c r="Y17" s="42">
        <f t="shared" si="11"/>
        <v>0</v>
      </c>
      <c r="Z17" s="1"/>
    </row>
    <row r="18" spans="1:25" ht="15.75">
      <c r="A18" s="1"/>
      <c r="B18" s="1" t="s">
        <v>15</v>
      </c>
      <c r="C18" s="3"/>
      <c r="D18" s="142" t="s">
        <v>131</v>
      </c>
      <c r="E18" s="70">
        <v>0</v>
      </c>
      <c r="F18" s="101">
        <f t="shared" si="0"/>
        <v>0</v>
      </c>
      <c r="G18" s="69">
        <v>0</v>
      </c>
      <c r="J18" s="206">
        <f t="shared" si="2"/>
        <v>0</v>
      </c>
      <c r="K18" s="211">
        <f>ROUND(J18*'RATES-Fed'!E36,0)</f>
        <v>0</v>
      </c>
      <c r="L18" s="212">
        <f t="shared" si="3"/>
        <v>0</v>
      </c>
      <c r="M18" s="190">
        <f t="shared" si="4"/>
        <v>0</v>
      </c>
      <c r="N18" s="211">
        <f>ROUND(M18*'RATES-Fed'!G36,0)</f>
        <v>0</v>
      </c>
      <c r="O18" s="212">
        <f t="shared" si="1"/>
        <v>0</v>
      </c>
      <c r="P18" s="190">
        <f t="shared" si="5"/>
        <v>0</v>
      </c>
      <c r="Q18" s="211">
        <f>ROUND(P18*'RATES-Fed'!I36,0)</f>
        <v>0</v>
      </c>
      <c r="R18" s="212">
        <f t="shared" si="6"/>
        <v>0</v>
      </c>
      <c r="S18" s="190">
        <f t="shared" si="7"/>
        <v>0</v>
      </c>
      <c r="T18" s="211">
        <f>ROUND(S18*'RATES-Fed'!K36,0)</f>
        <v>0</v>
      </c>
      <c r="U18" s="212">
        <f t="shared" si="8"/>
        <v>0</v>
      </c>
      <c r="V18" s="190">
        <f t="shared" si="9"/>
        <v>0</v>
      </c>
      <c r="W18" s="211">
        <f>ROUND(V18*'RATES-Fed'!M36,0)</f>
        <v>0</v>
      </c>
      <c r="X18" s="212">
        <f t="shared" si="10"/>
        <v>0</v>
      </c>
      <c r="Y18" s="209">
        <f t="shared" si="11"/>
        <v>0</v>
      </c>
    </row>
    <row r="19" spans="1:26" ht="15.75">
      <c r="A19" s="1"/>
      <c r="B19" s="1"/>
      <c r="C19" s="1"/>
      <c r="D19" s="25" t="s">
        <v>16</v>
      </c>
      <c r="E19" s="26"/>
      <c r="F19" s="26"/>
      <c r="G19" s="1"/>
      <c r="H19" s="1"/>
      <c r="I19" s="1"/>
      <c r="J19" s="210">
        <f aca="true" t="shared" si="12" ref="J19:X19">SUM(J11:J18)</f>
        <v>0</v>
      </c>
      <c r="K19" s="159">
        <f t="shared" si="12"/>
        <v>0</v>
      </c>
      <c r="L19" s="46">
        <f t="shared" si="12"/>
        <v>0</v>
      </c>
      <c r="M19" s="210">
        <f t="shared" si="12"/>
        <v>0</v>
      </c>
      <c r="N19" s="159">
        <f t="shared" si="12"/>
        <v>0</v>
      </c>
      <c r="O19" s="46">
        <f t="shared" si="12"/>
        <v>0</v>
      </c>
      <c r="P19" s="210">
        <f t="shared" si="12"/>
        <v>0</v>
      </c>
      <c r="Q19" s="159">
        <f t="shared" si="12"/>
        <v>0</v>
      </c>
      <c r="R19" s="46">
        <f t="shared" si="12"/>
        <v>0</v>
      </c>
      <c r="S19" s="210">
        <f t="shared" si="12"/>
        <v>0</v>
      </c>
      <c r="T19" s="159">
        <f t="shared" si="12"/>
        <v>0</v>
      </c>
      <c r="U19" s="46">
        <f t="shared" si="12"/>
        <v>0</v>
      </c>
      <c r="V19" s="210">
        <f t="shared" si="12"/>
        <v>0</v>
      </c>
      <c r="W19" s="159">
        <f t="shared" si="12"/>
        <v>0</v>
      </c>
      <c r="X19" s="46">
        <f t="shared" si="12"/>
        <v>0</v>
      </c>
      <c r="Y19" s="42">
        <f t="shared" si="11"/>
        <v>0</v>
      </c>
      <c r="Z19" s="6"/>
    </row>
    <row r="20" spans="1:26" ht="7.5" customHeight="1">
      <c r="A20" s="1"/>
      <c r="B20" s="1"/>
      <c r="C20" s="1"/>
      <c r="D20" s="26"/>
      <c r="E20" s="26"/>
      <c r="F20" s="26"/>
      <c r="G20" s="1"/>
      <c r="H20" s="1"/>
      <c r="I20" s="1"/>
      <c r="J20" s="195"/>
      <c r="K20" s="159"/>
      <c r="L20" s="46"/>
      <c r="M20" s="189"/>
      <c r="N20" s="159"/>
      <c r="O20" s="46"/>
      <c r="P20" s="189"/>
      <c r="Q20" s="159"/>
      <c r="R20" s="46"/>
      <c r="S20" s="189"/>
      <c r="T20" s="159"/>
      <c r="U20" s="46"/>
      <c r="V20" s="189"/>
      <c r="W20" s="159"/>
      <c r="X20" s="46"/>
      <c r="Y20" s="42">
        <f t="shared" si="11"/>
        <v>0</v>
      </c>
      <c r="Z20" s="6"/>
    </row>
    <row r="21" spans="1:26" ht="15.75">
      <c r="A21" s="22" t="s">
        <v>17</v>
      </c>
      <c r="B21" s="22" t="s">
        <v>18</v>
      </c>
      <c r="C21" s="1"/>
      <c r="D21" s="26"/>
      <c r="E21" s="1"/>
      <c r="F21" s="1"/>
      <c r="G21" s="41"/>
      <c r="H21" s="1"/>
      <c r="I21" s="1"/>
      <c r="J21" s="193"/>
      <c r="K21" s="155"/>
      <c r="L21" s="145"/>
      <c r="M21" s="193"/>
      <c r="N21" s="159"/>
      <c r="O21" s="46"/>
      <c r="P21" s="193"/>
      <c r="Q21" s="159"/>
      <c r="R21" s="46"/>
      <c r="S21" s="193"/>
      <c r="T21" s="159"/>
      <c r="U21" s="46"/>
      <c r="V21" s="193"/>
      <c r="W21" s="159"/>
      <c r="X21" s="46"/>
      <c r="Y21" s="42">
        <f t="shared" si="11"/>
        <v>0</v>
      </c>
      <c r="Z21" s="6"/>
    </row>
    <row r="22" spans="1:26" ht="15.75">
      <c r="A22" s="1"/>
      <c r="C22" s="13" t="s">
        <v>89</v>
      </c>
      <c r="D22" s="41" t="s">
        <v>128</v>
      </c>
      <c r="E22" s="68"/>
      <c r="F22" s="68"/>
      <c r="G22" s="59"/>
      <c r="J22" s="190"/>
      <c r="K22" s="160"/>
      <c r="L22" s="50"/>
      <c r="M22" s="190"/>
      <c r="N22" s="170"/>
      <c r="O22" s="150"/>
      <c r="P22" s="190"/>
      <c r="Q22" s="170"/>
      <c r="R22" s="150"/>
      <c r="S22" s="190"/>
      <c r="T22" s="170"/>
      <c r="U22" s="150"/>
      <c r="V22" s="190"/>
      <c r="W22" s="170"/>
      <c r="X22" s="150"/>
      <c r="Y22" s="42">
        <f t="shared" si="11"/>
        <v>0</v>
      </c>
      <c r="Z22" s="5"/>
    </row>
    <row r="23" spans="1:26" ht="15.75">
      <c r="A23" s="1"/>
      <c r="C23" s="13"/>
      <c r="D23" s="99"/>
      <c r="E23" s="70">
        <v>0</v>
      </c>
      <c r="F23" s="100">
        <f>SUM(52*E23/4.33)</f>
        <v>0</v>
      </c>
      <c r="G23" s="69">
        <v>0</v>
      </c>
      <c r="J23" s="190">
        <f>ROUND(G23*E23,0)</f>
        <v>0</v>
      </c>
      <c r="K23" s="160">
        <f>ROUND(J23*'RATES-Fed'!E37,0)</f>
        <v>0</v>
      </c>
      <c r="L23" s="50">
        <f>SUM(J23:K23)</f>
        <v>0</v>
      </c>
      <c r="M23" s="190">
        <f>ROUND(J23*1.02,0)</f>
        <v>0</v>
      </c>
      <c r="N23" s="160">
        <f>ROUND(M23*'RATES-Fed'!G37,0)</f>
        <v>0</v>
      </c>
      <c r="O23" s="50">
        <f>SUM(M23:N23)</f>
        <v>0</v>
      </c>
      <c r="P23" s="190">
        <f>ROUND(M23*1.02,0)</f>
        <v>0</v>
      </c>
      <c r="Q23" s="160">
        <f>ROUND(P23*'RATES-Fed'!I37,0)</f>
        <v>0</v>
      </c>
      <c r="R23" s="50">
        <f>SUM(P23:Q23)</f>
        <v>0</v>
      </c>
      <c r="S23" s="190">
        <f>ROUND(P23*1.02,0)</f>
        <v>0</v>
      </c>
      <c r="T23" s="160">
        <f>ROUND(S23*'RATES-Fed'!K37,0)</f>
        <v>0</v>
      </c>
      <c r="U23" s="50">
        <f>SUM(S23:T23)</f>
        <v>0</v>
      </c>
      <c r="V23" s="190">
        <f>ROUND(S23*1.02,0)</f>
        <v>0</v>
      </c>
      <c r="W23" s="160">
        <f>ROUND(V23*'RATES-Fed'!M37,0)</f>
        <v>0</v>
      </c>
      <c r="X23" s="50">
        <f>SUM(V23:W23)</f>
        <v>0</v>
      </c>
      <c r="Y23" s="42">
        <f t="shared" si="11"/>
        <v>0</v>
      </c>
      <c r="Z23" s="5"/>
    </row>
    <row r="24" spans="1:26" ht="15.75">
      <c r="A24" s="1"/>
      <c r="C24" s="13"/>
      <c r="D24" s="1"/>
      <c r="E24" s="70">
        <v>0</v>
      </c>
      <c r="F24" s="100">
        <f>SUM(52*E24/4.33)</f>
        <v>0</v>
      </c>
      <c r="G24" s="69">
        <v>0</v>
      </c>
      <c r="J24" s="190">
        <f>ROUND(G24*E24,0)</f>
        <v>0</v>
      </c>
      <c r="K24" s="160">
        <f>ROUND(J24*'RATES-Fed'!E37,0)</f>
        <v>0</v>
      </c>
      <c r="L24" s="50">
        <f>SUM(J24:K24)</f>
        <v>0</v>
      </c>
      <c r="M24" s="190">
        <f>ROUND(J24*1.02,0)</f>
        <v>0</v>
      </c>
      <c r="N24" s="160">
        <f>ROUND(M24*'RATES-Fed'!G37,0)</f>
        <v>0</v>
      </c>
      <c r="O24" s="50">
        <f>SUM(M24:N24)</f>
        <v>0</v>
      </c>
      <c r="P24" s="190">
        <f>ROUND(M24*1.02,0)</f>
        <v>0</v>
      </c>
      <c r="Q24" s="160">
        <f>ROUND(P24*'RATES-Fed'!I37,0)</f>
        <v>0</v>
      </c>
      <c r="R24" s="50">
        <f>SUM(P24:Q24)</f>
        <v>0</v>
      </c>
      <c r="S24" s="190">
        <f>ROUND(P24*1.02,0)</f>
        <v>0</v>
      </c>
      <c r="T24" s="160">
        <f>ROUND(S24*'RATES-Fed'!K37,0)</f>
        <v>0</v>
      </c>
      <c r="U24" s="50">
        <f>SUM(S24:T24)</f>
        <v>0</v>
      </c>
      <c r="V24" s="190">
        <f>ROUND(S24*1.02,0)</f>
        <v>0</v>
      </c>
      <c r="W24" s="160">
        <f>ROUND(V24*'RATES-Fed'!M37,0)</f>
        <v>0</v>
      </c>
      <c r="X24" s="50">
        <f>SUM(V24:W24)</f>
        <v>0</v>
      </c>
      <c r="Y24" s="42">
        <f t="shared" si="11"/>
        <v>0</v>
      </c>
      <c r="Z24" s="5"/>
    </row>
    <row r="25" spans="1:26" ht="15.75">
      <c r="A25" s="1"/>
      <c r="C25" s="13"/>
      <c r="D25" s="1"/>
      <c r="E25" s="70">
        <v>0</v>
      </c>
      <c r="F25" s="100">
        <f>SUM(52*E25/4.33)</f>
        <v>0</v>
      </c>
      <c r="G25" s="69">
        <v>0</v>
      </c>
      <c r="J25" s="206">
        <f>ROUND(G25*E25,0)</f>
        <v>0</v>
      </c>
      <c r="K25" s="207">
        <f>ROUND(J25*'RATES-Fed'!E37,0)</f>
        <v>0</v>
      </c>
      <c r="L25" s="208">
        <f>SUM(J25:K25)</f>
        <v>0</v>
      </c>
      <c r="M25" s="190">
        <f>ROUND(J25*1.02,0)</f>
        <v>0</v>
      </c>
      <c r="N25" s="207">
        <f>ROUND(M25*'RATES-Fed'!G37,0)</f>
        <v>0</v>
      </c>
      <c r="O25" s="208">
        <f>SUM(M25:N25)</f>
        <v>0</v>
      </c>
      <c r="P25" s="190">
        <f>ROUND(M25*1.02,0)</f>
        <v>0</v>
      </c>
      <c r="Q25" s="207">
        <f>ROUND(P25*'RATES-Fed'!I37,0)</f>
        <v>0</v>
      </c>
      <c r="R25" s="208">
        <f>SUM(P25:Q25)</f>
        <v>0</v>
      </c>
      <c r="S25" s="190">
        <f>ROUND(P25*1.02,0)</f>
        <v>0</v>
      </c>
      <c r="T25" s="207">
        <f>ROUND(S25*'RATES-Fed'!K37,0)</f>
        <v>0</v>
      </c>
      <c r="U25" s="208">
        <f>SUM(S25:T25)</f>
        <v>0</v>
      </c>
      <c r="V25" s="190">
        <f>ROUND(S25*1.02,0)</f>
        <v>0</v>
      </c>
      <c r="W25" s="207">
        <f>ROUND(V25*'RATES-Fed'!M37,0)</f>
        <v>0</v>
      </c>
      <c r="X25" s="208">
        <f>SUM(V25:W25)</f>
        <v>0</v>
      </c>
      <c r="Y25" s="209">
        <f t="shared" si="11"/>
        <v>0</v>
      </c>
      <c r="Z25" s="5"/>
    </row>
    <row r="26" spans="1:26" ht="15.75">
      <c r="A26" s="1"/>
      <c r="C26" s="13"/>
      <c r="D26" s="1" t="s">
        <v>129</v>
      </c>
      <c r="E26" s="70"/>
      <c r="F26" s="70"/>
      <c r="G26" s="69"/>
      <c r="J26" s="196">
        <f aca="true" t="shared" si="13" ref="J26:X26">SUM(J23:J25)</f>
        <v>0</v>
      </c>
      <c r="K26" s="160">
        <f t="shared" si="13"/>
        <v>0</v>
      </c>
      <c r="L26" s="50">
        <f t="shared" si="13"/>
        <v>0</v>
      </c>
      <c r="M26" s="196">
        <f t="shared" si="13"/>
        <v>0</v>
      </c>
      <c r="N26" s="170">
        <f>SUM(N23:N25)</f>
        <v>0</v>
      </c>
      <c r="O26" s="150">
        <f t="shared" si="13"/>
        <v>0</v>
      </c>
      <c r="P26" s="196">
        <f t="shared" si="13"/>
        <v>0</v>
      </c>
      <c r="Q26" s="170">
        <f t="shared" si="13"/>
        <v>0</v>
      </c>
      <c r="R26" s="150">
        <f t="shared" si="13"/>
        <v>0</v>
      </c>
      <c r="S26" s="196">
        <f t="shared" si="13"/>
        <v>0</v>
      </c>
      <c r="T26" s="170">
        <f t="shared" si="13"/>
        <v>0</v>
      </c>
      <c r="U26" s="150">
        <f t="shared" si="13"/>
        <v>0</v>
      </c>
      <c r="V26" s="196">
        <f t="shared" si="13"/>
        <v>0</v>
      </c>
      <c r="W26" s="170">
        <f t="shared" si="13"/>
        <v>0</v>
      </c>
      <c r="X26" s="150">
        <f t="shared" si="13"/>
        <v>0</v>
      </c>
      <c r="Y26" s="42">
        <f t="shared" si="11"/>
        <v>0</v>
      </c>
      <c r="Z26" s="5"/>
    </row>
    <row r="27" spans="1:26" ht="9.75" customHeight="1">
      <c r="A27" s="1"/>
      <c r="C27" s="13"/>
      <c r="D27" s="1"/>
      <c r="E27" s="70"/>
      <c r="F27" s="70"/>
      <c r="G27" s="69"/>
      <c r="J27" s="196"/>
      <c r="K27" s="160"/>
      <c r="L27" s="50"/>
      <c r="M27" s="196"/>
      <c r="N27" s="170"/>
      <c r="O27" s="150"/>
      <c r="P27" s="196"/>
      <c r="Q27" s="170"/>
      <c r="R27" s="150"/>
      <c r="S27" s="196"/>
      <c r="T27" s="170"/>
      <c r="U27" s="150"/>
      <c r="V27" s="196"/>
      <c r="W27" s="170"/>
      <c r="X27" s="150"/>
      <c r="Y27" s="42">
        <f t="shared" si="11"/>
        <v>0</v>
      </c>
      <c r="Z27" s="5"/>
    </row>
    <row r="28" spans="1:26" ht="15.75">
      <c r="A28" s="1"/>
      <c r="C28" s="13" t="s">
        <v>90</v>
      </c>
      <c r="D28" s="1"/>
      <c r="E28" s="68"/>
      <c r="F28" s="68"/>
      <c r="G28" s="59"/>
      <c r="J28" s="190">
        <v>0</v>
      </c>
      <c r="K28" s="160">
        <f>ROUND(J28*'RATES-Fed'!E40,0)</f>
        <v>0</v>
      </c>
      <c r="L28" s="50">
        <f>SUM(J28:K28)</f>
        <v>0</v>
      </c>
      <c r="M28" s="190">
        <f>ROUND((J28*1.02),0)</f>
        <v>0</v>
      </c>
      <c r="N28" s="160">
        <f>ROUND(M28*'RATES-Fed'!G40,0)</f>
        <v>0</v>
      </c>
      <c r="O28" s="50">
        <f>SUM(M28:N28)</f>
        <v>0</v>
      </c>
      <c r="P28" s="190">
        <f>ROUND((M28*1.02),0)</f>
        <v>0</v>
      </c>
      <c r="Q28" s="160">
        <f>ROUND(P28*'RATES-Fed'!I40,0)</f>
        <v>0</v>
      </c>
      <c r="R28" s="50">
        <f>SUM(P28:Q28)</f>
        <v>0</v>
      </c>
      <c r="S28" s="190">
        <f>ROUND((P28*1.02),0)</f>
        <v>0</v>
      </c>
      <c r="T28" s="160">
        <f>ROUND(S28*'RATES-Fed'!K40,0)</f>
        <v>0</v>
      </c>
      <c r="U28" s="50">
        <f>SUM(S28:T28)</f>
        <v>0</v>
      </c>
      <c r="V28" s="190">
        <f>ROUND((S28*1.02),0)</f>
        <v>0</v>
      </c>
      <c r="W28" s="160">
        <f>ROUND(V28*'RATES-Fed'!M40,0)</f>
        <v>0</v>
      </c>
      <c r="X28" s="50">
        <f>SUM(V28:W28)</f>
        <v>0</v>
      </c>
      <c r="Y28" s="42">
        <f t="shared" si="11"/>
        <v>0</v>
      </c>
      <c r="Z28" s="5"/>
    </row>
    <row r="29" spans="1:26" ht="15.75">
      <c r="A29" s="1"/>
      <c r="C29" s="13" t="s">
        <v>19</v>
      </c>
      <c r="D29" s="1"/>
      <c r="E29" s="3"/>
      <c r="F29" s="3"/>
      <c r="J29" s="190">
        <v>0</v>
      </c>
      <c r="K29" s="160">
        <f>ROUND(J29*'RATES-Fed'!E39,0)</f>
        <v>0</v>
      </c>
      <c r="L29" s="50">
        <f>SUM(J29:K29)</f>
        <v>0</v>
      </c>
      <c r="M29" s="190">
        <f>ROUND((J29*1.02),0)</f>
        <v>0</v>
      </c>
      <c r="N29" s="160">
        <f>ROUND(M29*'RATES-Fed'!G39,0)</f>
        <v>0</v>
      </c>
      <c r="O29" s="50">
        <f>SUM(M29:N29)</f>
        <v>0</v>
      </c>
      <c r="P29" s="190">
        <f>ROUND((M29*1.02),0)</f>
        <v>0</v>
      </c>
      <c r="Q29" s="160">
        <f>ROUND(P29*'RATES-Fed'!I39,0)</f>
        <v>0</v>
      </c>
      <c r="R29" s="50">
        <f>SUM(P29:Q29)</f>
        <v>0</v>
      </c>
      <c r="S29" s="190">
        <f>ROUND((P29*1.02),0)</f>
        <v>0</v>
      </c>
      <c r="T29" s="160">
        <f>ROUND(S29*'RATES-Fed'!K39,0)</f>
        <v>0</v>
      </c>
      <c r="U29" s="50">
        <f>SUM(S29:T29)</f>
        <v>0</v>
      </c>
      <c r="V29" s="190">
        <f>ROUND((S29*1.02),0)</f>
        <v>0</v>
      </c>
      <c r="W29" s="160">
        <f>ROUND(V29*'RATES-Fed'!M39,0)</f>
        <v>0</v>
      </c>
      <c r="X29" s="50">
        <f>SUM(V29:W29)</f>
        <v>0</v>
      </c>
      <c r="Y29" s="42">
        <f t="shared" si="11"/>
        <v>0</v>
      </c>
      <c r="Z29" s="5"/>
    </row>
    <row r="30" spans="1:26" ht="15.75">
      <c r="A30" s="1"/>
      <c r="C30" s="13" t="s">
        <v>20</v>
      </c>
      <c r="D30" s="1"/>
      <c r="E30" s="3"/>
      <c r="F30" s="3"/>
      <c r="J30" s="190">
        <v>0</v>
      </c>
      <c r="K30" s="160">
        <f>ROUND(J30*'RATES-Fed'!E39,0)</f>
        <v>0</v>
      </c>
      <c r="L30" s="50">
        <f>SUM(J30:K30)</f>
        <v>0</v>
      </c>
      <c r="M30" s="190">
        <f>ROUND((J30*1.02),0)</f>
        <v>0</v>
      </c>
      <c r="N30" s="160">
        <f>ROUND(M30*'RATES-Fed'!G39,0)</f>
        <v>0</v>
      </c>
      <c r="O30" s="50">
        <f>SUM(M30:N30)</f>
        <v>0</v>
      </c>
      <c r="P30" s="190">
        <f>ROUND((M30*1.02),0)</f>
        <v>0</v>
      </c>
      <c r="Q30" s="160">
        <f>ROUND(P30*'RATES-Fed'!I39,0)</f>
        <v>0</v>
      </c>
      <c r="R30" s="50">
        <f>SUM(P30:Q30)</f>
        <v>0</v>
      </c>
      <c r="S30" s="190">
        <f>ROUND((P30*1.02),0)</f>
        <v>0</v>
      </c>
      <c r="T30" s="160">
        <f>ROUND(S30*'RATES-Fed'!K39,0)</f>
        <v>0</v>
      </c>
      <c r="U30" s="50">
        <f>SUM(S30:T30)</f>
        <v>0</v>
      </c>
      <c r="V30" s="190">
        <f>ROUND((S30*1.02),0)</f>
        <v>0</v>
      </c>
      <c r="W30" s="160">
        <f>ROUND(V30*'RATES-Fed'!M39,0)</f>
        <v>0</v>
      </c>
      <c r="X30" s="50">
        <f>SUM(V30:W30)</f>
        <v>0</v>
      </c>
      <c r="Y30" s="42">
        <f t="shared" si="11"/>
        <v>0</v>
      </c>
      <c r="Z30" s="5"/>
    </row>
    <row r="31" spans="1:26" s="96" customFormat="1" ht="15.75">
      <c r="A31" s="145"/>
      <c r="C31" s="144" t="s">
        <v>21</v>
      </c>
      <c r="D31" s="145"/>
      <c r="E31" s="151"/>
      <c r="F31" s="151"/>
      <c r="J31" s="190">
        <v>0</v>
      </c>
      <c r="K31" s="160">
        <f>ROUND(J31*'RATES-Fed'!E40,0)</f>
        <v>0</v>
      </c>
      <c r="L31" s="50">
        <f>SUM(J31:K31)</f>
        <v>0</v>
      </c>
      <c r="M31" s="190">
        <f>ROUND((J31*1.02),0)</f>
        <v>0</v>
      </c>
      <c r="N31" s="160">
        <f>ROUND(M31*'RATES-Fed'!G40,0)</f>
        <v>0</v>
      </c>
      <c r="O31" s="50">
        <f>SUM(M31:N31)</f>
        <v>0</v>
      </c>
      <c r="P31" s="190">
        <f>ROUND((M31*1.02),0)</f>
        <v>0</v>
      </c>
      <c r="Q31" s="160">
        <f>ROUND(P31*'RATES-Fed'!I40,0)</f>
        <v>0</v>
      </c>
      <c r="R31" s="50">
        <f>SUM(P31:Q31)</f>
        <v>0</v>
      </c>
      <c r="S31" s="190">
        <f>ROUND((P31*1.02),0)</f>
        <v>0</v>
      </c>
      <c r="T31" s="160">
        <f>ROUND(S31*'RATES-Fed'!K40,0)</f>
        <v>0</v>
      </c>
      <c r="U31" s="50">
        <f>SUM(S31:T31)</f>
        <v>0</v>
      </c>
      <c r="V31" s="190">
        <f>ROUND((S31*1.02),0)</f>
        <v>0</v>
      </c>
      <c r="W31" s="160">
        <f>ROUND(V31*'RATES-Fed'!M40,0)</f>
        <v>0</v>
      </c>
      <c r="X31" s="50">
        <f>SUM(V31:W31)</f>
        <v>0</v>
      </c>
      <c r="Y31" s="42">
        <f t="shared" si="11"/>
        <v>0</v>
      </c>
      <c r="Z31" s="152"/>
    </row>
    <row r="32" spans="1:26" s="96" customFormat="1" ht="15.75">
      <c r="A32" s="145"/>
      <c r="C32" s="144" t="s">
        <v>91</v>
      </c>
      <c r="D32" s="145"/>
      <c r="E32" s="153"/>
      <c r="F32" s="153"/>
      <c r="G32" s="59"/>
      <c r="J32" s="206">
        <v>0</v>
      </c>
      <c r="K32" s="207">
        <f>ROUND(J32*'RATES-Fed'!E38,0)</f>
        <v>0</v>
      </c>
      <c r="L32" s="208">
        <f>SUM(J32:K32)</f>
        <v>0</v>
      </c>
      <c r="M32" s="190">
        <f>ROUND((J32*1.02),0)</f>
        <v>0</v>
      </c>
      <c r="N32" s="214">
        <f>ROUND(M32*'RATES-Fed'!G38,0)</f>
        <v>0</v>
      </c>
      <c r="O32" s="208">
        <f>SUM(M32:N32)</f>
        <v>0</v>
      </c>
      <c r="P32" s="190">
        <f>ROUND((M32*1.02),0)</f>
        <v>0</v>
      </c>
      <c r="Q32" s="214">
        <f>ROUND(P32*'RATES-Fed'!I38,0)</f>
        <v>0</v>
      </c>
      <c r="R32" s="208">
        <f>SUM(P32:Q32)</f>
        <v>0</v>
      </c>
      <c r="S32" s="190">
        <f>ROUND((P32*1.02),0)</f>
        <v>0</v>
      </c>
      <c r="T32" s="214">
        <f>ROUND(S32*'RATES-Fed'!K38,0)</f>
        <v>0</v>
      </c>
      <c r="U32" s="208">
        <f>SUM(S32:T32)</f>
        <v>0</v>
      </c>
      <c r="V32" s="190">
        <f>ROUND((S32*1.02),0)</f>
        <v>0</v>
      </c>
      <c r="W32" s="214">
        <f>ROUND(V32*'RATES-Fed'!M38,0)</f>
        <v>0</v>
      </c>
      <c r="X32" s="208">
        <f>SUM(V32:W32)</f>
        <v>0</v>
      </c>
      <c r="Y32" s="209">
        <f t="shared" si="11"/>
        <v>0</v>
      </c>
      <c r="Z32" s="152"/>
    </row>
    <row r="33" spans="1:26" ht="15.75">
      <c r="A33" s="1"/>
      <c r="B33" s="1"/>
      <c r="C33" s="1"/>
      <c r="D33" s="191" t="s">
        <v>214</v>
      </c>
      <c r="E33" s="26"/>
      <c r="F33" s="26"/>
      <c r="G33" s="1"/>
      <c r="H33" s="1"/>
      <c r="I33" s="1"/>
      <c r="J33" s="213">
        <f aca="true" t="shared" si="14" ref="J33:X33">SUM(J19+J26+J28+J29+J30+J31+J32)</f>
        <v>0</v>
      </c>
      <c r="K33" s="160">
        <f t="shared" si="14"/>
        <v>0</v>
      </c>
      <c r="L33" s="50">
        <f t="shared" si="14"/>
        <v>0</v>
      </c>
      <c r="M33" s="213">
        <f t="shared" si="14"/>
        <v>0</v>
      </c>
      <c r="N33" s="160">
        <f t="shared" si="14"/>
        <v>0</v>
      </c>
      <c r="O33" s="50">
        <f t="shared" si="14"/>
        <v>0</v>
      </c>
      <c r="P33" s="213">
        <f t="shared" si="14"/>
        <v>0</v>
      </c>
      <c r="Q33" s="160">
        <f t="shared" si="14"/>
        <v>0</v>
      </c>
      <c r="R33" s="50">
        <f t="shared" si="14"/>
        <v>0</v>
      </c>
      <c r="S33" s="213">
        <f t="shared" si="14"/>
        <v>0</v>
      </c>
      <c r="T33" s="160">
        <f t="shared" si="14"/>
        <v>0</v>
      </c>
      <c r="U33" s="50">
        <f t="shared" si="14"/>
        <v>0</v>
      </c>
      <c r="V33" s="213">
        <f t="shared" si="14"/>
        <v>0</v>
      </c>
      <c r="W33" s="160">
        <f t="shared" si="14"/>
        <v>0</v>
      </c>
      <c r="X33" s="50">
        <f t="shared" si="14"/>
        <v>0</v>
      </c>
      <c r="Y33" s="42"/>
      <c r="Z33" s="5"/>
    </row>
    <row r="34" spans="1:26" ht="7.5" customHeight="1">
      <c r="A34" s="1"/>
      <c r="B34" s="1"/>
      <c r="C34" s="1"/>
      <c r="D34" s="26"/>
      <c r="E34" s="26"/>
      <c r="F34" s="26"/>
      <c r="G34" s="26"/>
      <c r="H34" s="26"/>
      <c r="I34" s="26"/>
      <c r="J34" s="52"/>
      <c r="K34" s="159"/>
      <c r="L34" s="179"/>
      <c r="M34" s="64"/>
      <c r="P34" s="64"/>
      <c r="Q34" s="159"/>
      <c r="R34" s="46"/>
      <c r="S34" s="64"/>
      <c r="T34" s="159"/>
      <c r="U34" s="46"/>
      <c r="V34" s="64"/>
      <c r="W34" s="159"/>
      <c r="X34" s="46"/>
      <c r="Y34" s="64" t="s">
        <v>1</v>
      </c>
      <c r="Z34" s="6"/>
    </row>
    <row r="35" spans="1:26" s="31" customFormat="1" ht="15.75">
      <c r="A35" s="40" t="s">
        <v>24</v>
      </c>
      <c r="B35" s="21"/>
      <c r="D35" s="28"/>
      <c r="E35" s="28"/>
      <c r="F35" s="28"/>
      <c r="G35" s="28"/>
      <c r="H35" s="28"/>
      <c r="I35" s="28"/>
      <c r="J35" s="47">
        <f>SUM(J33+K33)</f>
        <v>0</v>
      </c>
      <c r="K35" s="161"/>
      <c r="L35" s="181"/>
      <c r="M35" s="47">
        <f>SUM(M33+N33)</f>
        <v>0</v>
      </c>
      <c r="N35" s="161"/>
      <c r="O35" s="146"/>
      <c r="P35" s="47">
        <f>SUM(P33+Q33)</f>
        <v>0</v>
      </c>
      <c r="Q35" s="161"/>
      <c r="R35" s="146"/>
      <c r="S35" s="47">
        <f>SUM(S33+T33)</f>
        <v>0</v>
      </c>
      <c r="T35" s="161"/>
      <c r="U35" s="146"/>
      <c r="V35" s="47">
        <f>SUM(V33+W33)</f>
        <v>0</v>
      </c>
      <c r="W35" s="161"/>
      <c r="X35" s="146"/>
      <c r="Y35" s="47">
        <f>SUM(J35+M35+P35+S35+V35)</f>
        <v>0</v>
      </c>
      <c r="Z35" s="29"/>
    </row>
    <row r="36" spans="1:26" ht="8.25" customHeight="1">
      <c r="A36" s="1"/>
      <c r="B36" s="1"/>
      <c r="C36" s="28"/>
      <c r="D36" s="26"/>
      <c r="E36" s="26"/>
      <c r="F36" s="26"/>
      <c r="G36" s="26"/>
      <c r="H36" s="26"/>
      <c r="I36" s="26"/>
      <c r="J36" s="52"/>
      <c r="K36" s="159"/>
      <c r="L36" s="179"/>
      <c r="M36" s="46"/>
      <c r="N36" s="159"/>
      <c r="O36" s="46"/>
      <c r="P36" s="46"/>
      <c r="Q36" s="159"/>
      <c r="R36" s="46"/>
      <c r="S36" s="46"/>
      <c r="T36" s="159"/>
      <c r="U36" s="46"/>
      <c r="V36" s="46"/>
      <c r="W36" s="159"/>
      <c r="X36" s="46"/>
      <c r="Y36" s="46" t="s">
        <v>1</v>
      </c>
      <c r="Z36" s="6"/>
    </row>
    <row r="37" spans="1:26" ht="15.75">
      <c r="A37" s="22" t="s">
        <v>25</v>
      </c>
      <c r="B37" s="22" t="s">
        <v>26</v>
      </c>
      <c r="C37" s="21"/>
      <c r="D37" s="26"/>
      <c r="E37" s="26"/>
      <c r="F37" s="26"/>
      <c r="G37" s="26"/>
      <c r="H37" s="26"/>
      <c r="I37" s="26"/>
      <c r="J37" s="52"/>
      <c r="K37" s="159"/>
      <c r="L37" s="179"/>
      <c r="M37" s="50"/>
      <c r="N37" s="159"/>
      <c r="O37" s="46"/>
      <c r="P37" s="50"/>
      <c r="Q37" s="159"/>
      <c r="R37" s="46"/>
      <c r="S37" s="50"/>
      <c r="T37" s="159"/>
      <c r="U37" s="46"/>
      <c r="V37" s="50"/>
      <c r="W37" s="159"/>
      <c r="X37" s="46"/>
      <c r="Y37" s="50" t="s">
        <v>1</v>
      </c>
      <c r="Z37" s="6"/>
    </row>
    <row r="38" spans="1:26" ht="15.75">
      <c r="A38" s="21"/>
      <c r="B38" s="21"/>
      <c r="C38" s="10" t="s">
        <v>27</v>
      </c>
      <c r="D38" s="30"/>
      <c r="E38" s="30"/>
      <c r="F38" s="30"/>
      <c r="G38" s="30"/>
      <c r="H38" s="30"/>
      <c r="I38" s="30"/>
      <c r="J38" s="42">
        <v>0</v>
      </c>
      <c r="K38" s="159"/>
      <c r="L38" s="179"/>
      <c r="M38" s="42">
        <v>0</v>
      </c>
      <c r="N38" s="160"/>
      <c r="O38" s="50"/>
      <c r="P38" s="42">
        <v>0</v>
      </c>
      <c r="Q38" s="160"/>
      <c r="R38" s="50"/>
      <c r="S38" s="42">
        <v>0</v>
      </c>
      <c r="T38" s="160"/>
      <c r="U38" s="50"/>
      <c r="V38" s="42">
        <v>0</v>
      </c>
      <c r="W38" s="160"/>
      <c r="X38" s="50"/>
      <c r="Y38" s="42">
        <f>SUM(J38:V38)</f>
        <v>0</v>
      </c>
      <c r="Z38" s="6"/>
    </row>
    <row r="39" spans="1:26" ht="15.75">
      <c r="A39" s="21"/>
      <c r="B39" s="21"/>
      <c r="C39" s="10" t="s">
        <v>27</v>
      </c>
      <c r="D39" s="30"/>
      <c r="E39" s="30"/>
      <c r="F39" s="30"/>
      <c r="G39" s="30"/>
      <c r="H39" s="30"/>
      <c r="I39" s="30"/>
      <c r="J39" s="42">
        <v>0</v>
      </c>
      <c r="K39" s="159"/>
      <c r="L39" s="179"/>
      <c r="M39" s="42">
        <v>0</v>
      </c>
      <c r="N39" s="160"/>
      <c r="O39" s="50"/>
      <c r="P39" s="42">
        <v>0</v>
      </c>
      <c r="Q39" s="160"/>
      <c r="R39" s="50"/>
      <c r="S39" s="42">
        <v>0</v>
      </c>
      <c r="T39" s="160"/>
      <c r="U39" s="50"/>
      <c r="V39" s="42">
        <v>0</v>
      </c>
      <c r="W39" s="160"/>
      <c r="X39" s="50"/>
      <c r="Y39" s="42">
        <f>SUM(J39:V39)</f>
        <v>0</v>
      </c>
      <c r="Z39" s="6"/>
    </row>
    <row r="40" spans="1:26" ht="15.75">
      <c r="A40" s="21"/>
      <c r="B40" s="21"/>
      <c r="C40" s="27" t="s">
        <v>28</v>
      </c>
      <c r="D40" s="28"/>
      <c r="E40" s="28"/>
      <c r="F40" s="28"/>
      <c r="G40" s="28"/>
      <c r="H40" s="28"/>
      <c r="I40" s="28"/>
      <c r="J40" s="53">
        <f>SUM(J38:J39)</f>
        <v>0</v>
      </c>
      <c r="K40" s="162"/>
      <c r="L40" s="182"/>
      <c r="M40" s="53">
        <f>SUM(M38:M39)</f>
        <v>0</v>
      </c>
      <c r="N40" s="162"/>
      <c r="O40" s="48"/>
      <c r="P40" s="53">
        <f>SUM(P38:P39)</f>
        <v>0</v>
      </c>
      <c r="Q40" s="162"/>
      <c r="R40" s="48"/>
      <c r="S40" s="53">
        <f>SUM(S38:S39)</f>
        <v>0</v>
      </c>
      <c r="T40" s="162"/>
      <c r="U40" s="48"/>
      <c r="V40" s="53">
        <f>SUM(V38:V39)</f>
        <v>0</v>
      </c>
      <c r="W40" s="162"/>
      <c r="X40" s="48"/>
      <c r="Y40" s="53">
        <f>SUM(J40:V40)</f>
        <v>0</v>
      </c>
      <c r="Z40" s="29"/>
    </row>
    <row r="41" spans="1:26" ht="9" customHeight="1">
      <c r="A41" s="1"/>
      <c r="B41" s="1"/>
      <c r="C41" s="28"/>
      <c r="D41" s="26"/>
      <c r="E41" s="26"/>
      <c r="F41" s="26"/>
      <c r="G41" s="26"/>
      <c r="H41" s="26"/>
      <c r="I41" s="26"/>
      <c r="J41" s="52"/>
      <c r="K41" s="159"/>
      <c r="L41" s="179"/>
      <c r="M41" s="46"/>
      <c r="N41" s="159"/>
      <c r="O41" s="46"/>
      <c r="P41" s="46"/>
      <c r="Q41" s="159"/>
      <c r="R41" s="46"/>
      <c r="S41" s="46"/>
      <c r="T41" s="159"/>
      <c r="U41" s="46"/>
      <c r="V41" s="46"/>
      <c r="W41" s="159"/>
      <c r="X41" s="46"/>
      <c r="Y41" s="46"/>
      <c r="Z41" s="6"/>
    </row>
    <row r="42" spans="1:26" ht="15.75">
      <c r="A42" s="22" t="s">
        <v>29</v>
      </c>
      <c r="B42" s="22" t="s">
        <v>30</v>
      </c>
      <c r="C42" s="1"/>
      <c r="D42" s="21"/>
      <c r="E42" s="21"/>
      <c r="F42" s="21"/>
      <c r="G42" s="1"/>
      <c r="H42" s="1"/>
      <c r="I42" s="1"/>
      <c r="J42" s="54" t="s">
        <v>1</v>
      </c>
      <c r="K42" s="160"/>
      <c r="L42" s="180"/>
      <c r="M42" s="45" t="s">
        <v>1</v>
      </c>
      <c r="N42" s="160"/>
      <c r="O42" s="50"/>
      <c r="P42" s="45" t="s">
        <v>1</v>
      </c>
      <c r="Q42" s="160"/>
      <c r="R42" s="50"/>
      <c r="S42" s="45" t="s">
        <v>1</v>
      </c>
      <c r="T42" s="160"/>
      <c r="U42" s="50"/>
      <c r="V42" s="45" t="s">
        <v>1</v>
      </c>
      <c r="W42" s="160"/>
      <c r="X42" s="50"/>
      <c r="Y42" s="45"/>
      <c r="Z42" s="5"/>
    </row>
    <row r="43" spans="1:26" ht="15.75">
      <c r="A43" s="21"/>
      <c r="B43" s="21"/>
      <c r="C43" s="13" t="s">
        <v>31</v>
      </c>
      <c r="D43" s="10" t="s">
        <v>27</v>
      </c>
      <c r="E43" s="31"/>
      <c r="F43" s="31"/>
      <c r="J43" s="42">
        <v>0</v>
      </c>
      <c r="K43" s="160"/>
      <c r="L43" s="180"/>
      <c r="M43" s="42">
        <f>ROUND((J43*1.02),0)</f>
        <v>0</v>
      </c>
      <c r="N43" s="170"/>
      <c r="O43" s="150"/>
      <c r="P43" s="42">
        <f>ROUND((M43*1.02),0)</f>
        <v>0</v>
      </c>
      <c r="Q43" s="170"/>
      <c r="R43" s="150"/>
      <c r="S43" s="42">
        <f>ROUND((P43*1.02),0)</f>
        <v>0</v>
      </c>
      <c r="T43" s="170"/>
      <c r="U43" s="150"/>
      <c r="V43" s="42">
        <f>ROUND((S43*1.02),0)</f>
        <v>0</v>
      </c>
      <c r="W43" s="170"/>
      <c r="X43" s="150"/>
      <c r="Y43" s="42">
        <f>SUM(J43:V43)</f>
        <v>0</v>
      </c>
      <c r="Z43" s="5"/>
    </row>
    <row r="44" spans="1:26" ht="15.75">
      <c r="A44" s="21"/>
      <c r="B44" s="21"/>
      <c r="C44" s="13" t="s">
        <v>32</v>
      </c>
      <c r="D44" s="10" t="s">
        <v>27</v>
      </c>
      <c r="E44" s="31"/>
      <c r="F44" s="31"/>
      <c r="J44" s="42">
        <v>0</v>
      </c>
      <c r="K44" s="160"/>
      <c r="L44" s="180"/>
      <c r="M44" s="42">
        <f>ROUND((J44*1.02),0)</f>
        <v>0</v>
      </c>
      <c r="N44" s="170"/>
      <c r="O44" s="150"/>
      <c r="P44" s="42">
        <f>ROUND((M44*1.02),0)</f>
        <v>0</v>
      </c>
      <c r="Q44" s="170"/>
      <c r="R44" s="150"/>
      <c r="S44" s="42">
        <f>ROUND((P44*1.02),0)</f>
        <v>0</v>
      </c>
      <c r="T44" s="170"/>
      <c r="U44" s="150"/>
      <c r="V44" s="42">
        <f>ROUND((S44*1.02),0)</f>
        <v>0</v>
      </c>
      <c r="W44" s="170"/>
      <c r="X44" s="150"/>
      <c r="Y44" s="42">
        <f>SUM(J44:V44)</f>
        <v>0</v>
      </c>
      <c r="Z44" s="5"/>
    </row>
    <row r="45" spans="1:26" s="31" customFormat="1" ht="15.75">
      <c r="A45" s="21"/>
      <c r="B45" s="21"/>
      <c r="C45" s="27" t="s">
        <v>33</v>
      </c>
      <c r="D45" s="28"/>
      <c r="E45" s="28"/>
      <c r="F45" s="28"/>
      <c r="G45" s="28"/>
      <c r="H45" s="28"/>
      <c r="I45" s="28"/>
      <c r="J45" s="53">
        <f>SUM(J43:J44)</f>
        <v>0</v>
      </c>
      <c r="K45" s="162"/>
      <c r="L45" s="182"/>
      <c r="M45" s="55">
        <f>SUM(M43:M44)</f>
        <v>0</v>
      </c>
      <c r="N45" s="162"/>
      <c r="O45" s="48"/>
      <c r="P45" s="55">
        <f>SUM(P43:P44)</f>
        <v>0</v>
      </c>
      <c r="Q45" s="162"/>
      <c r="R45" s="48"/>
      <c r="S45" s="55">
        <f>SUM(S43:S44)</f>
        <v>0</v>
      </c>
      <c r="T45" s="162"/>
      <c r="U45" s="48"/>
      <c r="V45" s="55">
        <f>SUM(V43:V44)</f>
        <v>0</v>
      </c>
      <c r="W45" s="162"/>
      <c r="X45" s="48"/>
      <c r="Y45" s="55">
        <f>SUM(J45:V45)</f>
        <v>0</v>
      </c>
      <c r="Z45" s="29"/>
    </row>
    <row r="46" spans="1:26" ht="10.5" customHeight="1">
      <c r="A46" s="1"/>
      <c r="B46" s="1"/>
      <c r="C46" s="28"/>
      <c r="D46" s="26"/>
      <c r="E46" s="26"/>
      <c r="F46" s="26"/>
      <c r="G46" s="26"/>
      <c r="H46" s="26"/>
      <c r="I46" s="26"/>
      <c r="J46" s="52"/>
      <c r="K46" s="159"/>
      <c r="L46" s="179"/>
      <c r="M46" s="42"/>
      <c r="N46" s="159"/>
      <c r="O46" s="46"/>
      <c r="P46" s="42"/>
      <c r="Q46" s="159"/>
      <c r="R46" s="46"/>
      <c r="S46" s="42"/>
      <c r="T46" s="159"/>
      <c r="U46" s="46"/>
      <c r="V46" s="42"/>
      <c r="W46" s="159"/>
      <c r="X46" s="46"/>
      <c r="Y46" s="42"/>
      <c r="Z46" s="6"/>
    </row>
    <row r="47" spans="1:26" ht="15.75">
      <c r="A47" s="22" t="s">
        <v>34</v>
      </c>
      <c r="B47" s="22" t="s">
        <v>35</v>
      </c>
      <c r="C47" s="21"/>
      <c r="D47" s="21"/>
      <c r="E47" s="21"/>
      <c r="F47" s="21"/>
      <c r="G47" s="1"/>
      <c r="H47" s="1"/>
      <c r="I47" s="1"/>
      <c r="J47" s="54" t="s">
        <v>1</v>
      </c>
      <c r="K47" s="160"/>
      <c r="L47" s="180"/>
      <c r="M47" s="42" t="s">
        <v>1</v>
      </c>
      <c r="N47" s="160"/>
      <c r="O47" s="50"/>
      <c r="P47" s="42" t="s">
        <v>1</v>
      </c>
      <c r="Q47" s="160"/>
      <c r="R47" s="50"/>
      <c r="S47" s="42" t="s">
        <v>1</v>
      </c>
      <c r="T47" s="160"/>
      <c r="U47" s="50"/>
      <c r="V47" s="42" t="s">
        <v>1</v>
      </c>
      <c r="W47" s="160"/>
      <c r="X47" s="50"/>
      <c r="Y47" s="42"/>
      <c r="Z47" s="5"/>
    </row>
    <row r="48" spans="1:26" ht="15.75">
      <c r="A48" s="21"/>
      <c r="B48" s="21"/>
      <c r="C48" s="13" t="s">
        <v>36</v>
      </c>
      <c r="D48" s="3"/>
      <c r="E48" s="31"/>
      <c r="F48" s="31"/>
      <c r="J48" s="42">
        <v>0</v>
      </c>
      <c r="K48" s="160"/>
      <c r="L48" s="180"/>
      <c r="M48" s="42">
        <f>ROUND((J48*1.02),0)</f>
        <v>0</v>
      </c>
      <c r="N48" s="170"/>
      <c r="O48" s="150"/>
      <c r="P48" s="42">
        <f>ROUND((M48*1.02),0)</f>
        <v>0</v>
      </c>
      <c r="Q48" s="170"/>
      <c r="R48" s="150"/>
      <c r="S48" s="42">
        <f>ROUND((P48*1.02),0)</f>
        <v>0</v>
      </c>
      <c r="T48" s="170"/>
      <c r="U48" s="150"/>
      <c r="V48" s="42">
        <f aca="true" t="shared" si="15" ref="V48:V54">ROUND((S48*1.02),0)</f>
        <v>0</v>
      </c>
      <c r="W48" s="170"/>
      <c r="X48" s="150"/>
      <c r="Y48" s="42">
        <f aca="true" t="shared" si="16" ref="Y48:Y59">SUM(J48:V48)</f>
        <v>0</v>
      </c>
      <c r="Z48" s="5"/>
    </row>
    <row r="49" spans="1:26" ht="15.75">
      <c r="A49" s="21"/>
      <c r="B49" s="21"/>
      <c r="C49" s="13" t="s">
        <v>37</v>
      </c>
      <c r="D49" s="3"/>
      <c r="E49" s="31"/>
      <c r="F49" s="31"/>
      <c r="J49" s="42">
        <v>0</v>
      </c>
      <c r="K49" s="160"/>
      <c r="L49" s="180"/>
      <c r="M49" s="42">
        <f aca="true" t="shared" si="17" ref="M49:M54">ROUND((J49*1.02),0)</f>
        <v>0</v>
      </c>
      <c r="N49" s="170"/>
      <c r="O49" s="150"/>
      <c r="P49" s="42">
        <f aca="true" t="shared" si="18" ref="P49:P54">ROUND((M49*1.02),0)</f>
        <v>0</v>
      </c>
      <c r="Q49" s="170"/>
      <c r="R49" s="150"/>
      <c r="S49" s="42">
        <f aca="true" t="shared" si="19" ref="S49:S54">ROUND((P49*1.02),0)</f>
        <v>0</v>
      </c>
      <c r="T49" s="170"/>
      <c r="U49" s="150"/>
      <c r="V49" s="42">
        <f t="shared" si="15"/>
        <v>0</v>
      </c>
      <c r="W49" s="170"/>
      <c r="X49" s="150"/>
      <c r="Y49" s="42">
        <f t="shared" si="16"/>
        <v>0</v>
      </c>
      <c r="Z49" s="5"/>
    </row>
    <row r="50" spans="1:26" ht="15.75">
      <c r="A50" s="21"/>
      <c r="B50" s="21"/>
      <c r="C50" s="13" t="s">
        <v>38</v>
      </c>
      <c r="D50" s="3"/>
      <c r="E50" s="31"/>
      <c r="F50" s="31"/>
      <c r="J50" s="42">
        <v>0</v>
      </c>
      <c r="K50" s="160"/>
      <c r="L50" s="180"/>
      <c r="M50" s="42">
        <f t="shared" si="17"/>
        <v>0</v>
      </c>
      <c r="N50" s="170"/>
      <c r="O50" s="150"/>
      <c r="P50" s="42">
        <f t="shared" si="18"/>
        <v>0</v>
      </c>
      <c r="Q50" s="171"/>
      <c r="R50" s="42"/>
      <c r="S50" s="42">
        <f t="shared" si="19"/>
        <v>0</v>
      </c>
      <c r="T50" s="171"/>
      <c r="U50" s="42"/>
      <c r="V50" s="42">
        <f t="shared" si="15"/>
        <v>0</v>
      </c>
      <c r="W50" s="170"/>
      <c r="X50" s="150"/>
      <c r="Y50" s="42">
        <f t="shared" si="16"/>
        <v>0</v>
      </c>
      <c r="Z50" s="5"/>
    </row>
    <row r="51" spans="1:26" ht="15.75">
      <c r="A51" s="21"/>
      <c r="B51" s="21"/>
      <c r="C51" s="13" t="s">
        <v>39</v>
      </c>
      <c r="D51" s="3"/>
      <c r="E51" s="31"/>
      <c r="F51" s="31"/>
      <c r="J51" s="42">
        <v>0</v>
      </c>
      <c r="K51" s="160"/>
      <c r="L51" s="180"/>
      <c r="M51" s="42">
        <f t="shared" si="17"/>
        <v>0</v>
      </c>
      <c r="N51" s="170"/>
      <c r="O51" s="150"/>
      <c r="P51" s="42">
        <f t="shared" si="18"/>
        <v>0</v>
      </c>
      <c r="Q51" s="170"/>
      <c r="R51" s="150"/>
      <c r="S51" s="42">
        <f t="shared" si="19"/>
        <v>0</v>
      </c>
      <c r="T51" s="170"/>
      <c r="U51" s="150"/>
      <c r="V51" s="42">
        <f t="shared" si="15"/>
        <v>0</v>
      </c>
      <c r="W51" s="170"/>
      <c r="X51" s="150"/>
      <c r="Y51" s="42">
        <f t="shared" si="16"/>
        <v>0</v>
      </c>
      <c r="Z51" s="5"/>
    </row>
    <row r="52" spans="1:26" ht="15.75">
      <c r="A52" s="21"/>
      <c r="B52" s="21"/>
      <c r="C52" s="245" t="s">
        <v>105</v>
      </c>
      <c r="D52" s="3"/>
      <c r="E52" s="31"/>
      <c r="F52" s="31"/>
      <c r="J52" s="42">
        <v>0</v>
      </c>
      <c r="K52" s="160"/>
      <c r="L52" s="180"/>
      <c r="M52" s="42">
        <f t="shared" si="17"/>
        <v>0</v>
      </c>
      <c r="N52" s="170"/>
      <c r="O52" s="150"/>
      <c r="P52" s="42">
        <f t="shared" si="18"/>
        <v>0</v>
      </c>
      <c r="Q52" s="170"/>
      <c r="R52" s="150"/>
      <c r="S52" s="42">
        <f t="shared" si="19"/>
        <v>0</v>
      </c>
      <c r="T52" s="170"/>
      <c r="U52" s="150"/>
      <c r="V52" s="42">
        <f t="shared" si="15"/>
        <v>0</v>
      </c>
      <c r="W52" s="170"/>
      <c r="X52" s="150"/>
      <c r="Y52" s="42">
        <f t="shared" si="16"/>
        <v>0</v>
      </c>
      <c r="Z52" s="5"/>
    </row>
    <row r="53" spans="1:26" ht="15.75">
      <c r="A53" s="21"/>
      <c r="B53" s="21"/>
      <c r="C53" s="13" t="s">
        <v>93</v>
      </c>
      <c r="D53" s="3"/>
      <c r="E53" s="31"/>
      <c r="F53" s="31"/>
      <c r="J53" s="42">
        <v>0</v>
      </c>
      <c r="K53" s="160"/>
      <c r="L53" s="180"/>
      <c r="M53" s="42">
        <f t="shared" si="17"/>
        <v>0</v>
      </c>
      <c r="N53" s="171"/>
      <c r="O53" s="42"/>
      <c r="P53" s="42">
        <f t="shared" si="18"/>
        <v>0</v>
      </c>
      <c r="Q53" s="171"/>
      <c r="R53" s="42"/>
      <c r="S53" s="42">
        <f t="shared" si="19"/>
        <v>0</v>
      </c>
      <c r="T53" s="171"/>
      <c r="U53" s="42"/>
      <c r="V53" s="42">
        <f t="shared" si="15"/>
        <v>0</v>
      </c>
      <c r="W53" s="170"/>
      <c r="X53" s="150"/>
      <c r="Y53" s="42">
        <f t="shared" si="16"/>
        <v>0</v>
      </c>
      <c r="Z53" s="5"/>
    </row>
    <row r="54" spans="1:26" ht="15.75">
      <c r="A54" s="21"/>
      <c r="B54" s="21"/>
      <c r="C54" s="13" t="s">
        <v>40</v>
      </c>
      <c r="D54" s="21"/>
      <c r="E54" s="21"/>
      <c r="F54" s="21"/>
      <c r="G54" s="1"/>
      <c r="H54" s="1"/>
      <c r="I54" s="1"/>
      <c r="J54" s="42">
        <v>0</v>
      </c>
      <c r="K54" s="160"/>
      <c r="L54" s="180"/>
      <c r="M54" s="42">
        <f t="shared" si="17"/>
        <v>0</v>
      </c>
      <c r="N54" s="171"/>
      <c r="O54" s="42"/>
      <c r="P54" s="42">
        <f t="shared" si="18"/>
        <v>0</v>
      </c>
      <c r="Q54" s="171"/>
      <c r="R54" s="42"/>
      <c r="S54" s="42">
        <f t="shared" si="19"/>
        <v>0</v>
      </c>
      <c r="T54" s="171"/>
      <c r="U54" s="42"/>
      <c r="V54" s="42">
        <f t="shared" si="15"/>
        <v>0</v>
      </c>
      <c r="W54" s="171"/>
      <c r="X54" s="42"/>
      <c r="Y54" s="42">
        <f t="shared" si="16"/>
        <v>0</v>
      </c>
      <c r="Z54" s="5"/>
    </row>
    <row r="55" spans="1:27" ht="15.75">
      <c r="A55" s="21"/>
      <c r="B55" s="21"/>
      <c r="C55" s="22" t="s">
        <v>41</v>
      </c>
      <c r="D55" s="10"/>
      <c r="E55" s="31"/>
      <c r="F55" s="31"/>
      <c r="J55" s="42">
        <v>0</v>
      </c>
      <c r="K55" s="160"/>
      <c r="L55" s="180"/>
      <c r="M55" s="42">
        <v>0</v>
      </c>
      <c r="N55" s="285"/>
      <c r="O55" s="150"/>
      <c r="P55" s="42">
        <v>0</v>
      </c>
      <c r="Q55" s="170"/>
      <c r="R55" s="150"/>
      <c r="S55" s="42">
        <v>0</v>
      </c>
      <c r="T55" s="170"/>
      <c r="U55" s="150"/>
      <c r="V55" s="42">
        <v>0</v>
      </c>
      <c r="W55" s="170"/>
      <c r="X55" s="150"/>
      <c r="Y55" s="42">
        <f t="shared" si="16"/>
        <v>0</v>
      </c>
      <c r="Z55" s="5"/>
      <c r="AA55" s="76"/>
    </row>
    <row r="56" spans="1:27" ht="15.75">
      <c r="A56" s="21"/>
      <c r="B56" s="21"/>
      <c r="C56" s="63" t="s">
        <v>42</v>
      </c>
      <c r="D56" s="10"/>
      <c r="E56" s="31"/>
      <c r="F56" s="31"/>
      <c r="J56" s="42">
        <v>0</v>
      </c>
      <c r="K56" s="284"/>
      <c r="L56" s="180"/>
      <c r="M56" s="42">
        <v>0</v>
      </c>
      <c r="N56" s="285"/>
      <c r="O56" s="150"/>
      <c r="P56" s="42">
        <v>0</v>
      </c>
      <c r="Q56" s="285"/>
      <c r="R56" s="150"/>
      <c r="S56" s="42">
        <v>0</v>
      </c>
      <c r="T56" s="285"/>
      <c r="U56" s="150"/>
      <c r="V56" s="42">
        <v>0</v>
      </c>
      <c r="W56" s="285"/>
      <c r="X56" s="150"/>
      <c r="Y56" s="42">
        <f t="shared" si="16"/>
        <v>0</v>
      </c>
      <c r="Z56" s="5"/>
      <c r="AA56" s="76"/>
    </row>
    <row r="57" spans="1:27" ht="15.75">
      <c r="A57" s="21"/>
      <c r="B57" s="21"/>
      <c r="C57" s="63" t="s">
        <v>97</v>
      </c>
      <c r="D57" s="10"/>
      <c r="E57" s="31"/>
      <c r="F57" s="31"/>
      <c r="J57" s="42">
        <v>0</v>
      </c>
      <c r="K57" s="284"/>
      <c r="L57" s="180"/>
      <c r="M57" s="42">
        <v>0</v>
      </c>
      <c r="N57" s="285"/>
      <c r="O57" s="150"/>
      <c r="P57" s="42">
        <v>0</v>
      </c>
      <c r="Q57" s="285"/>
      <c r="R57" s="150"/>
      <c r="S57" s="42">
        <v>0</v>
      </c>
      <c r="T57" s="285"/>
      <c r="U57" s="150"/>
      <c r="V57" s="42">
        <v>0</v>
      </c>
      <c r="W57" s="285"/>
      <c r="X57" s="150"/>
      <c r="Y57" s="42">
        <f t="shared" si="16"/>
        <v>0</v>
      </c>
      <c r="Z57" s="5"/>
      <c r="AA57" s="76"/>
    </row>
    <row r="58" spans="1:27" ht="15.75">
      <c r="A58" s="21"/>
      <c r="B58" s="21"/>
      <c r="C58" s="63" t="s">
        <v>98</v>
      </c>
      <c r="D58" s="10"/>
      <c r="E58" s="31"/>
      <c r="F58" s="31"/>
      <c r="J58" s="42">
        <v>0</v>
      </c>
      <c r="K58" s="284"/>
      <c r="L58" s="180"/>
      <c r="M58" s="42">
        <v>0</v>
      </c>
      <c r="N58" s="285"/>
      <c r="O58" s="150"/>
      <c r="P58" s="42">
        <v>0</v>
      </c>
      <c r="Q58" s="285"/>
      <c r="R58" s="150"/>
      <c r="S58" s="42">
        <v>0</v>
      </c>
      <c r="T58" s="170"/>
      <c r="U58" s="150"/>
      <c r="V58" s="42">
        <v>0</v>
      </c>
      <c r="W58" s="285"/>
      <c r="X58" s="150"/>
      <c r="Y58" s="42">
        <f t="shared" si="16"/>
        <v>0</v>
      </c>
      <c r="Z58" s="5"/>
      <c r="AA58" s="76"/>
    </row>
    <row r="59" spans="1:27" ht="15.75">
      <c r="A59" s="40" t="s">
        <v>43</v>
      </c>
      <c r="D59" s="28"/>
      <c r="E59" s="28"/>
      <c r="F59" s="28"/>
      <c r="G59" s="28"/>
      <c r="H59" s="28"/>
      <c r="I59" s="28"/>
      <c r="J59" s="51">
        <f>SUM(J48:J58)</f>
        <v>0</v>
      </c>
      <c r="K59" s="163"/>
      <c r="L59" s="183"/>
      <c r="M59" s="43">
        <f>SUM(M48:M58)</f>
        <v>0</v>
      </c>
      <c r="N59" s="163"/>
      <c r="O59" s="44"/>
      <c r="P59" s="43">
        <f>SUM(P48:P58)</f>
        <v>0</v>
      </c>
      <c r="Q59" s="163"/>
      <c r="R59" s="44"/>
      <c r="S59" s="43">
        <f>SUM(S48:S58)</f>
        <v>0</v>
      </c>
      <c r="T59" s="163"/>
      <c r="U59" s="44"/>
      <c r="V59" s="43">
        <f>SUM(V48:V58)</f>
        <v>0</v>
      </c>
      <c r="W59" s="163"/>
      <c r="X59" s="44"/>
      <c r="Y59" s="43">
        <f t="shared" si="16"/>
        <v>0</v>
      </c>
      <c r="Z59" s="34"/>
      <c r="AA59" s="76"/>
    </row>
    <row r="60" spans="1:26" ht="7.5" customHeight="1">
      <c r="A60" s="21"/>
      <c r="B60" s="21"/>
      <c r="C60" s="26"/>
      <c r="D60" s="28"/>
      <c r="E60" s="28"/>
      <c r="F60" s="28"/>
      <c r="G60" s="26"/>
      <c r="H60" s="26"/>
      <c r="I60" s="26"/>
      <c r="J60" s="52"/>
      <c r="K60" s="159"/>
      <c r="L60" s="179"/>
      <c r="M60" s="46"/>
      <c r="N60" s="159"/>
      <c r="O60" s="46"/>
      <c r="P60" s="46"/>
      <c r="Q60" s="159"/>
      <c r="R60" s="46"/>
      <c r="S60" s="46"/>
      <c r="T60" s="159"/>
      <c r="U60" s="46"/>
      <c r="V60" s="46"/>
      <c r="W60" s="159"/>
      <c r="X60" s="46"/>
      <c r="Y60" s="46" t="s">
        <v>1</v>
      </c>
      <c r="Z60" s="6"/>
    </row>
    <row r="61" spans="1:26" ht="16.5">
      <c r="A61" s="28"/>
      <c r="B61" s="28"/>
      <c r="C61" s="28"/>
      <c r="D61" s="21"/>
      <c r="E61" s="32" t="s">
        <v>44</v>
      </c>
      <c r="F61" s="32"/>
      <c r="G61" s="39"/>
      <c r="H61" s="39"/>
      <c r="I61" s="39"/>
      <c r="J61" s="65">
        <f>ROUND(+J59+J45+J40+J35,0)</f>
        <v>0</v>
      </c>
      <c r="K61" s="164"/>
      <c r="L61" s="184"/>
      <c r="M61" s="65">
        <f>ROUND(+M59+M45+M40+M35,0)</f>
        <v>0</v>
      </c>
      <c r="N61" s="164"/>
      <c r="O61" s="65"/>
      <c r="P61" s="65">
        <f>ROUND(+P59+P45+P40+P35,0)</f>
        <v>0</v>
      </c>
      <c r="Q61" s="164"/>
      <c r="R61" s="65"/>
      <c r="S61" s="65">
        <f>ROUND(+S59+S45+S40+S35,0)</f>
        <v>0</v>
      </c>
      <c r="T61" s="164"/>
      <c r="U61" s="65"/>
      <c r="V61" s="65">
        <f>ROUND(+V59+V45+V40+V35,0)</f>
        <v>0</v>
      </c>
      <c r="W61" s="164"/>
      <c r="X61" s="65"/>
      <c r="Y61" s="65">
        <f>SUM(J61:V61)</f>
        <v>0</v>
      </c>
      <c r="Z61" s="34"/>
    </row>
    <row r="62" spans="1:25" ht="7.5" customHeight="1">
      <c r="A62" s="28"/>
      <c r="B62" s="28"/>
      <c r="C62" s="28"/>
      <c r="D62" s="21"/>
      <c r="E62" s="32"/>
      <c r="F62" s="32"/>
      <c r="G62" s="39"/>
      <c r="H62" s="39"/>
      <c r="I62" s="39"/>
      <c r="J62" s="66"/>
      <c r="K62" s="164"/>
      <c r="L62" s="184"/>
      <c r="M62" s="65"/>
      <c r="N62" s="172"/>
      <c r="O62" s="200"/>
      <c r="P62" s="65"/>
      <c r="Q62" s="172"/>
      <c r="R62" s="200"/>
      <c r="S62" s="65"/>
      <c r="T62" s="172"/>
      <c r="U62" s="200"/>
      <c r="V62" s="65"/>
      <c r="W62" s="172"/>
      <c r="X62" s="200"/>
      <c r="Y62" s="65"/>
    </row>
    <row r="63" spans="1:27" ht="15.75">
      <c r="A63" s="28"/>
      <c r="B63" s="28"/>
      <c r="C63" s="28"/>
      <c r="D63" s="21"/>
      <c r="G63" s="39"/>
      <c r="H63" s="98" t="s">
        <v>124</v>
      </c>
      <c r="I63" s="39"/>
      <c r="J63" s="74">
        <f>(IF((J55)&gt;25000,(25000),J55)+((IF((J56)&gt;25000,(25000),J56))+((IF((J57)&gt;25000,(25000),J57))+((IF((J58)&gt;25000,(25000),J58))+SUM(J61-J40-J52-J55-J56-J57-J58-J53)))))</f>
        <v>0</v>
      </c>
      <c r="K63" s="165"/>
      <c r="L63" s="185"/>
      <c r="M63" s="74">
        <f>IF(J55&gt;=(25000),0,((IF((J55+M55)&lt;=(25000),M55,(25000-J55)))))+IF(J56&gt;=(25000),0,((IF((J56+M56)&lt;=(25000),M56,(25000-J56)))))+IF(J57&gt;=(25000),0,((IF((J57+M57)&lt;=(25000),M57,(25000-J57)))))+IF(J58&gt;=(25000),0,((IF((J58+M58)&lt;=(25000),M58,(25000-J58)))))+SUM(M61-M40-M52-M55-M56-M57-M58-M53)</f>
        <v>0</v>
      </c>
      <c r="N63" s="165"/>
      <c r="O63" s="201"/>
      <c r="P63" s="74">
        <f>IF(J55&gt;=(25000),0,(((IF((J55+M55)&gt;=(25000),0,((IF((J55+M55+P55)&lt;=(25000),P55,(25000-SUM(J55+M55))))))))))+IF(J56&gt;=(25000),0,(((IF((J56+M56)&gt;=(25000),0,((IF((J56+M56+P56)&lt;(25000),P56,(25000-SUM(J56+M56))))))))))+IF(J57&gt;=(25000),0,(((IF((J57+M57)&gt;=(25000),0,((IF((J57+M57+P57)&lt;(25000),P57,(25000-SUM(J57+M57))))))))))+IF(J58&gt;=(25000),0,(((IF((J58+M58)&gt;=(25000),0,((IF((J58+M58+P58)&lt;(25000),P58,(25000-SUM(J58+M58))))))))))+SUM(P61-P40-P52-P55-P56-P57-P58-P53)</f>
        <v>0</v>
      </c>
      <c r="Q63" s="165"/>
      <c r="R63" s="201"/>
      <c r="S63" s="74">
        <f>IF(J55&gt;=(25000),0,(((IF((J55+M55)&gt;=(25000),0,((IF((J55+M55+P55)&gt;=(25000),0,(IF((J55+M55+P55+S55)&lt;=(25000),S55,(25000-SUM(J55+M55+P55))))))))))))+IF(J56&gt;=(25000),0,(((IF((J56+M56)&gt;=(25000),0,((IF((J56+M56+P56)&gt;=(25000),0,(IF((J56+M56+P56+S56)&lt;=(25000),S56,(25000-SUM(J56+M56+P56))))))))))))+IF(J57&gt;=(25000),0,(((IF((J57+M57)&gt;=(25000),0,((IF((J57+M57+P57)&gt;=(25000),0,(IF((J57+M57+P57+S57)&lt;=(25000),S57,(25000-SUM(J57+M57+P57))))))))))))+IF(J58&gt;=(25000),0,(((IF((J58+M58)&gt;=(25000),0,((IF((J58+M58+P58)&gt;=(25000),0,(IF((J58+M58+P58+S58)&lt;=(25000),S58,(25000-SUM(J58+M58+P58))))))))))))+SUM(S61-S40-S52-S55-S56-S57-S58-S53)</f>
        <v>0</v>
      </c>
      <c r="T63" s="165"/>
      <c r="U63" s="201"/>
      <c r="V63" s="74">
        <f>IF(J55&gt;=(25000),0,((((IF((J55+M55)&gt;=(25000),0,(((IF((J55+M55+P55)&gt;=(25000),0,((IF((J55+M55+P55+S55)&gt;=(25000),0,(IF((J55+M55+P55+S55+V55)&lt;=(25000),V55,(25000-SUM(J55+M55+P55+S55)))))))))))))))))+IF(J56&gt;=(25000),0,((((IF((J56+M56)&gt;=(25000),0,(((IF((J56+M56+P56)&gt;=(25000),0,((IF((J56+M56+P56+S56)&gt;=(25000),0,(IF((J56+M56+P56+S56+V56)&lt;=(25000),V56,(25000-SUM(J56+M56+P56+S56)))))))))))))))))+IF(J57&gt;=(25000),0,((((IF((J57+M57)&gt;=(25000),0,(((IF((J57+M57+P57)&gt;=(25000),0,((IF((J57+M57+P57+S57)&gt;=(25000),0,(IF((J57+M57+P57+S57+V57)&lt;=(25000),V57,(25000-SUM(J57+M57+P57+S57)))))))))))))))))+IF(J58&gt;=(25000),0,((((IF((J58+M58)&gt;=(25000),0,(((IF((J58+M58+P58)&gt;=(25000),0,((IF((J58+M58+P58+S58)&gt;=(25000),0,(IF((J58+M58+P58+S58+V58)&lt;=(25000),V58,(25000-SUM(J58+M58+P58+S58)))))))))))))))))+SUM(V61-V40-V52-V55-V56-V57-V58-V53)</f>
        <v>0</v>
      </c>
      <c r="W63" s="165"/>
      <c r="X63" s="201"/>
      <c r="Y63" s="74">
        <f>SUM(J63:V63)</f>
        <v>0</v>
      </c>
      <c r="AA63" s="76"/>
    </row>
    <row r="64" spans="1:28" ht="15.75">
      <c r="A64" s="33" t="s">
        <v>123</v>
      </c>
      <c r="B64" s="1"/>
      <c r="C64" s="1"/>
      <c r="J64" s="42"/>
      <c r="K64" s="166"/>
      <c r="L64" s="186"/>
      <c r="M64" s="50"/>
      <c r="N64" s="166"/>
      <c r="O64" s="56"/>
      <c r="P64" s="50"/>
      <c r="Q64" s="166"/>
      <c r="R64" s="56"/>
      <c r="S64" s="50"/>
      <c r="T64" s="166"/>
      <c r="U64" s="56"/>
      <c r="V64" s="50"/>
      <c r="W64" s="166"/>
      <c r="X64" s="56"/>
      <c r="Y64" s="50"/>
      <c r="Z64" s="5"/>
      <c r="AB64" s="75"/>
    </row>
    <row r="65" spans="1:26" ht="15.75">
      <c r="A65" s="13" t="s">
        <v>126</v>
      </c>
      <c r="B65" s="1"/>
      <c r="D65" s="7">
        <f>IF(AND(($E$76)="R",($E$78)="C"),('RATES-Fed'!E43),IF(AND(($E$76)="R",($E$78)="O"),('RATES-Fed'!E48),IF(AND(($E$76)="I",($E$78)="C"),('RATES-Fed'!E44),IF(AND(($E$76)="I",($E$78)="O"),('RATES-Fed'!E49),IF(AND(($E$76)="P",($E$78)="C"),('RATES-Fed'!E45),IF(AND(($E$76)="P",($E$78)="O"),('RATES-Fed'!E50),($E$77)))))))</f>
        <v>0.595</v>
      </c>
      <c r="E65" s="7">
        <f>IF(AND(($E$76)="R",($E$78)="C"),('RATES-Fed'!G43),IF(AND(($E$76)="R",($E$78)="O"),('RATES-Fed'!G48),IF(AND(($E$76)="I",($E$78)="C"),('RATES-Fed'!G44),IF(AND(($E$76)="I",($E$78)="O"),('RATES-Fed'!G49),IF(AND(($E$76)="P",($E$78)="C"),('RATES-Fed'!G45),IF(AND(($E$76)="P",($E$78)="O"),('RATES-Fed'!G50),($E$77)))))))</f>
        <v>0.6</v>
      </c>
      <c r="F65" s="7">
        <f>IF(AND(($E$76)="R",($E$78)="C"),('RATES-Fed'!I43),IF(AND(($E$76)="R",($E$78)="O"),('RATES-Fed'!I48),IF(AND(($E$76)="I",($E$78)="C"),('RATES-Fed'!I44),IF(AND(($E$76)="I",($E$78)="O"),('RATES-Fed'!I49),IF(AND(($E$76)="P",($E$78)="C"),('RATES-Fed'!I45),IF(AND(($E$76)="P",($E$78)="O"),('RATES-Fed'!I50),($E$77)))))))</f>
        <v>0.605</v>
      </c>
      <c r="G65" s="7">
        <f>IF(AND(($E$76)="R",($E$78)="C"),('RATES-Fed'!K43),IF(AND(($E$76)="R",($E$78)="O"),('RATES-Fed'!K48),IF(AND(($E$76)="I",($E$78)="C"),('RATES-Fed'!K44),IF(AND(($E$76)="I",($E$78)="O"),('RATES-Fed'!K49),IF(AND(($E$76)="P",($E$78)="C"),('RATES-Fed'!K45),IF(AND(($E$76)="P",($E$78)="O"),('RATES-Fed'!K50),($E$77)))))))</f>
        <v>0.605</v>
      </c>
      <c r="H65" s="7">
        <f>IF(AND(($E$76)="R",($E$78)="C"),('RATES-Fed'!M43),IF(AND(($E$76)="R",($E$78)="O"),('RATES-Fed'!M48),IF(AND(($E$76)="I",($E$78)="C"),('RATES-Fed'!M44),IF(AND(($E$76)="I",($E$78)="O"),('RATES-Fed'!M49),IF(AND(($E$76)="P",($E$78)="C"),('RATES-Fed'!M45),IF(AND(($E$76)="P",($E$78)="O"),('RATES-Fed'!M50),($E$77)))))))</f>
        <v>0.605</v>
      </c>
      <c r="J65" s="50">
        <f>ROUND(+D65*(J61-J40-J55-J56-J57-J58-J52-J53),0)</f>
        <v>0</v>
      </c>
      <c r="K65" s="160"/>
      <c r="L65" s="180"/>
      <c r="M65" s="50">
        <f>ROUND(+E65*(M61-M40-M55-M56-M57-M58-M52-M53),0)</f>
        <v>0</v>
      </c>
      <c r="N65" s="160"/>
      <c r="O65" s="50"/>
      <c r="P65" s="50">
        <f>ROUND(+F65*(P61-P40-P55-P56-P57-P58-P52-P53),0)</f>
        <v>0</v>
      </c>
      <c r="Q65" s="160"/>
      <c r="R65" s="50"/>
      <c r="S65" s="50">
        <f>ROUND(+G65*(S61-S40-S55-S56-S57-S58-S52-S53),0)</f>
        <v>0</v>
      </c>
      <c r="T65" s="160"/>
      <c r="U65" s="50"/>
      <c r="V65" s="50">
        <f>ROUND(+H65*(V61-V40-V55-V56-V57-V58-V52-V53),0)</f>
        <v>0</v>
      </c>
      <c r="W65" s="160"/>
      <c r="X65" s="50"/>
      <c r="Y65" s="50">
        <f aca="true" t="shared" si="20" ref="Y65:Y70">SUM(J65:V65)</f>
        <v>0</v>
      </c>
      <c r="Z65" s="5"/>
    </row>
    <row r="66" spans="1:26" ht="15.75">
      <c r="A66" s="13" t="s">
        <v>45</v>
      </c>
      <c r="D66" s="7">
        <f aca="true" t="shared" si="21" ref="D66:H68">+D65</f>
        <v>0.595</v>
      </c>
      <c r="E66" s="7">
        <f t="shared" si="21"/>
        <v>0.6</v>
      </c>
      <c r="F66" s="7">
        <f t="shared" si="21"/>
        <v>0.605</v>
      </c>
      <c r="G66" s="7">
        <f t="shared" si="21"/>
        <v>0.605</v>
      </c>
      <c r="H66" s="7">
        <f t="shared" si="21"/>
        <v>0.605</v>
      </c>
      <c r="J66" s="50">
        <f>(IF((J55)&gt;25000,(25000),J55)*D66)</f>
        <v>0</v>
      </c>
      <c r="K66" s="50"/>
      <c r="L66" s="50"/>
      <c r="M66" s="50">
        <f>IF(J55&gt;=(25000),0,((IF((J55+M55)&lt;=(25000),M55,(25000-J55))))*E66)</f>
        <v>0</v>
      </c>
      <c r="N66" s="160"/>
      <c r="O66" s="50"/>
      <c r="P66" s="50">
        <f>IF(J55&gt;=(25000),0,(((IF((J55+M55)&gt;=(25000),0,((IF((J55+M55+P55)&lt;=(25000),P55,(25000-SUM(J55+M55)))))))))*F66)</f>
        <v>0</v>
      </c>
      <c r="Q66" s="160"/>
      <c r="R66" s="50"/>
      <c r="S66" s="50">
        <f>IF(J55&gt;=(25000),0,(((IF((J55+M55)&gt;=(25000),0,((IF((J55+M55+P55)&gt;=(25000),0,(IF((J55+M55+P55+S55)&lt;=(25000),S55,(25000-SUM(J55+M55+P55)))))))))))*G65)</f>
        <v>0</v>
      </c>
      <c r="T66" s="160"/>
      <c r="U66" s="50"/>
      <c r="V66" s="50">
        <f>IF(M55&gt;=(25000),0,(((IF((M55+P55)&gt;=(25000),0,((IF((M55+P55+S55)&gt;=(25000),0,(IF((M55+P55+S55+V55)&lt;=(25000),V55,(25000-SUM(M55+P55+S55)))))))))))*J66)</f>
        <v>0</v>
      </c>
      <c r="W66" s="160"/>
      <c r="X66" s="50"/>
      <c r="Y66" s="50">
        <f t="shared" si="20"/>
        <v>0</v>
      </c>
      <c r="Z66" s="5"/>
    </row>
    <row r="67" spans="1:26" ht="15.75">
      <c r="A67" s="13" t="s">
        <v>46</v>
      </c>
      <c r="D67" s="7">
        <f t="shared" si="21"/>
        <v>0.595</v>
      </c>
      <c r="E67" s="7">
        <f t="shared" si="21"/>
        <v>0.6</v>
      </c>
      <c r="F67" s="7">
        <f t="shared" si="21"/>
        <v>0.605</v>
      </c>
      <c r="G67" s="7">
        <f t="shared" si="21"/>
        <v>0.605</v>
      </c>
      <c r="H67" s="7">
        <f t="shared" si="21"/>
        <v>0.605</v>
      </c>
      <c r="J67" s="50">
        <f>(IF((J56)&gt;25000,(25000),J56)*D67)</f>
        <v>0</v>
      </c>
      <c r="K67" s="160"/>
      <c r="L67" s="180"/>
      <c r="M67" s="50">
        <f>IF(J56&gt;=(25000),0,((IF((J56+M56)&lt;=(25000),M56,(25000-J56))))*E67)</f>
        <v>0</v>
      </c>
      <c r="N67" s="160"/>
      <c r="O67" s="50"/>
      <c r="P67" s="50">
        <f>IF(J56&gt;=(25000),0,(((IF((J56+M56)&gt;=(25000),0,((IF((J56+M56+P56)&lt;=(25000),P56,(25000-SUM(J56+M56)))))))))*F67)</f>
        <v>0</v>
      </c>
      <c r="Q67" s="160"/>
      <c r="R67" s="50"/>
      <c r="S67" s="50">
        <f>IF(J56&gt;=(25000),0,(((IF((J56+M56)&gt;=(25000),0,((IF((J56+M56+P56)&gt;=(25000),0,(IF((J56+M56+P56+S56)&lt;=(25000),S56,(25000-SUM(J56+M56+P56)))))))))))*G66)</f>
        <v>0</v>
      </c>
      <c r="T67" s="160"/>
      <c r="U67" s="50"/>
      <c r="V67" s="50">
        <f>IF(M56&gt;=(25000),0,(((IF((M56+P56)&gt;=(25000),0,((IF((M56+P56+S56)&gt;=(25000),0,(IF((M56+P56+S56+V56)&lt;=(25000),V56,(25000-SUM(M56+P56+S56)))))))))))*J67)</f>
        <v>0</v>
      </c>
      <c r="W67" s="160"/>
      <c r="X67" s="50"/>
      <c r="Y67" s="50">
        <f t="shared" si="20"/>
        <v>0</v>
      </c>
      <c r="Z67" s="5"/>
    </row>
    <row r="68" spans="1:26" ht="15.75">
      <c r="A68" s="13" t="s">
        <v>95</v>
      </c>
      <c r="D68" s="7">
        <f t="shared" si="21"/>
        <v>0.595</v>
      </c>
      <c r="E68" s="7">
        <f t="shared" si="21"/>
        <v>0.6</v>
      </c>
      <c r="F68" s="7">
        <f t="shared" si="21"/>
        <v>0.605</v>
      </c>
      <c r="G68" s="7">
        <f t="shared" si="21"/>
        <v>0.605</v>
      </c>
      <c r="H68" s="7">
        <f t="shared" si="21"/>
        <v>0.605</v>
      </c>
      <c r="J68" s="50">
        <f>(IF((J57)&gt;25000,(25000),J57)*D68)</f>
        <v>0</v>
      </c>
      <c r="K68" s="160"/>
      <c r="L68" s="180"/>
      <c r="M68" s="50">
        <f>IF(J57&gt;=(25000),0,((IF((J57+M57)&lt;=(25000),M57,(25000-J57))))*E68)</f>
        <v>0</v>
      </c>
      <c r="N68" s="160"/>
      <c r="O68" s="50"/>
      <c r="P68" s="50">
        <f>IF(J57&gt;=(25000),0,(((IF((J57+M57)&gt;=(25000),0,((IF((J57+M57+P57)&lt;=(25000),P57,(25000-SUM(J57+M57)))))))))*F68)</f>
        <v>0</v>
      </c>
      <c r="Q68" s="160"/>
      <c r="R68" s="50"/>
      <c r="S68" s="50">
        <f>IF(J57&gt;=(25000),0,(((IF((J57+M57)&gt;=(25000),0,((IF((J57+M57+P57)&gt;=(25000),0,(IF((J57+M57+P57+S57)&lt;=(25000),S57,(25000-SUM(J57+M57+P57)))))))))))*G67)</f>
        <v>0</v>
      </c>
      <c r="T68" s="160"/>
      <c r="U68" s="50"/>
      <c r="V68" s="50">
        <f>IF(M57&gt;=(25000),0,(((IF((M57+P57)&gt;=(25000),0,((IF((M57+P57+S57)&gt;=(25000),0,(IF((M57+P57+S57+V57)&lt;=(25000),V57,(25000-SUM(M57+P57+S57)))))))))))*J68)</f>
        <v>0</v>
      </c>
      <c r="W68" s="160"/>
      <c r="X68" s="50"/>
      <c r="Y68" s="50">
        <f t="shared" si="20"/>
        <v>0</v>
      </c>
      <c r="Z68" s="5"/>
    </row>
    <row r="69" spans="1:26" ht="15.75">
      <c r="A69" s="13" t="s">
        <v>96</v>
      </c>
      <c r="B69" s="1"/>
      <c r="C69" s="1"/>
      <c r="D69" s="7">
        <f>+D66</f>
        <v>0.595</v>
      </c>
      <c r="E69" s="7">
        <f>+E66</f>
        <v>0.6</v>
      </c>
      <c r="F69" s="7">
        <f>+F66</f>
        <v>0.605</v>
      </c>
      <c r="G69" s="7">
        <f>+G66</f>
        <v>0.605</v>
      </c>
      <c r="H69" s="7">
        <f>+H66</f>
        <v>0.605</v>
      </c>
      <c r="J69" s="50">
        <f>(IF((J58)&gt;25000,(25000),J58)*D69)</f>
        <v>0</v>
      </c>
      <c r="K69" s="160"/>
      <c r="L69" s="180"/>
      <c r="M69" s="50">
        <f>IF(J58&gt;=(25000),0,((IF((J58+M58)&lt;=(25000),M58,(25000-J58))))*E69)</f>
        <v>0</v>
      </c>
      <c r="N69" s="160"/>
      <c r="O69" s="50"/>
      <c r="P69" s="50">
        <f>IF(J58&gt;=(25000),0,(((IF((J58+M58)&gt;=(25000),0,((IF((J58+M58+P58)&lt;=(25000),P58,(25000-SUM(J58+M58)))))))))*F69)</f>
        <v>0</v>
      </c>
      <c r="Q69" s="160"/>
      <c r="R69" s="50"/>
      <c r="S69" s="50">
        <f>IF(J58&gt;=(25000),0,(((IF((J58+M58)&gt;=(25000),0,((IF((J58+M58+P58)&gt;=(25000),0,(IF((J58+M58+P58+S58)&lt;=(25000),S58,(25000-SUM(J58+M58+P58)))))))))))*G68)</f>
        <v>0</v>
      </c>
      <c r="T69" s="160"/>
      <c r="U69" s="50"/>
      <c r="V69" s="50">
        <f>IF(M58&gt;=(25000),0,(((IF((M58+P58)&gt;=(25000),0,((IF((M58+P58+S58)&gt;=(25000),0,(IF((M58+P58+S58+V58)&lt;=(25000),V58,(25000-SUM(M58+P58+S58)))))))))))*J69)</f>
        <v>0</v>
      </c>
      <c r="W69" s="160"/>
      <c r="X69" s="50"/>
      <c r="Y69" s="50">
        <f t="shared" si="20"/>
        <v>0</v>
      </c>
      <c r="Z69" s="5"/>
    </row>
    <row r="70" spans="1:26" ht="15.75">
      <c r="A70" s="40" t="s">
        <v>125</v>
      </c>
      <c r="B70" s="1"/>
      <c r="C70" s="24"/>
      <c r="D70" s="35"/>
      <c r="E70" s="7"/>
      <c r="F70" s="7"/>
      <c r="G70" s="7"/>
      <c r="H70" s="7"/>
      <c r="I70" s="7"/>
      <c r="J70" s="53">
        <f>SUM(J65:J69)</f>
        <v>0</v>
      </c>
      <c r="K70" s="163"/>
      <c r="L70" s="183"/>
      <c r="M70" s="53">
        <f>SUM(M65:M69)</f>
        <v>0</v>
      </c>
      <c r="N70" s="163"/>
      <c r="O70" s="44"/>
      <c r="P70" s="53">
        <f>SUM(P65:P69)</f>
        <v>0</v>
      </c>
      <c r="Q70" s="163"/>
      <c r="R70" s="44"/>
      <c r="S70" s="53">
        <f>SUM(S65:S69)</f>
        <v>0</v>
      </c>
      <c r="T70" s="163"/>
      <c r="U70" s="44"/>
      <c r="V70" s="53">
        <f>SUM(V65:V69)</f>
        <v>0</v>
      </c>
      <c r="W70" s="163"/>
      <c r="X70" s="44"/>
      <c r="Y70" s="53">
        <f t="shared" si="20"/>
        <v>0</v>
      </c>
      <c r="Z70" s="5"/>
    </row>
    <row r="71" spans="1:26" ht="6.75" customHeight="1">
      <c r="A71" s="40"/>
      <c r="B71" s="1"/>
      <c r="C71" s="24"/>
      <c r="D71" s="35"/>
      <c r="E71" s="7"/>
      <c r="F71" s="7"/>
      <c r="G71" s="7"/>
      <c r="H71" s="7"/>
      <c r="I71" s="7"/>
      <c r="J71" s="61"/>
      <c r="K71" s="163"/>
      <c r="L71" s="183"/>
      <c r="M71" s="62"/>
      <c r="N71" s="163"/>
      <c r="O71" s="44"/>
      <c r="P71" s="62"/>
      <c r="Q71" s="163"/>
      <c r="R71" s="44"/>
      <c r="S71" s="62"/>
      <c r="T71" s="163"/>
      <c r="U71" s="44"/>
      <c r="V71" s="62"/>
      <c r="W71" s="163"/>
      <c r="X71" s="44"/>
      <c r="Y71" s="62"/>
      <c r="Z71" s="5"/>
    </row>
    <row r="72" spans="1:26" ht="19.5" thickBot="1">
      <c r="A72" s="40"/>
      <c r="B72" s="1"/>
      <c r="C72" s="60" t="s">
        <v>47</v>
      </c>
      <c r="D72" s="35"/>
      <c r="E72" s="7"/>
      <c r="F72" s="7"/>
      <c r="G72" s="7"/>
      <c r="H72" s="7"/>
      <c r="I72" s="7"/>
      <c r="J72" s="72">
        <f>J70+J61</f>
        <v>0</v>
      </c>
      <c r="K72" s="164"/>
      <c r="L72" s="184"/>
      <c r="M72" s="72">
        <f>M70+M61</f>
        <v>0</v>
      </c>
      <c r="N72" s="164"/>
      <c r="O72" s="65"/>
      <c r="P72" s="72">
        <f>P70+P61</f>
        <v>0</v>
      </c>
      <c r="Q72" s="164"/>
      <c r="R72" s="65"/>
      <c r="S72" s="72">
        <f>S70+S61</f>
        <v>0</v>
      </c>
      <c r="T72" s="164"/>
      <c r="U72" s="65"/>
      <c r="V72" s="72">
        <f>V70+V61</f>
        <v>0</v>
      </c>
      <c r="W72" s="164"/>
      <c r="X72" s="65"/>
      <c r="Y72" s="72">
        <f>SUM(J72:V72)</f>
        <v>0</v>
      </c>
      <c r="Z72" s="5"/>
    </row>
    <row r="73" spans="1:26" ht="8.25" customHeight="1" thickTop="1">
      <c r="A73" s="28"/>
      <c r="B73" s="1"/>
      <c r="C73" s="35"/>
      <c r="D73" s="7"/>
      <c r="E73" s="7"/>
      <c r="F73" s="7"/>
      <c r="G73" s="7"/>
      <c r="H73" s="7"/>
      <c r="I73" s="7"/>
      <c r="J73" s="50"/>
      <c r="K73" s="160"/>
      <c r="L73" s="180"/>
      <c r="M73" s="50"/>
      <c r="N73" s="160"/>
      <c r="O73" s="50"/>
      <c r="P73" s="50"/>
      <c r="Q73" s="160"/>
      <c r="R73" s="50"/>
      <c r="S73" s="50"/>
      <c r="T73" s="160"/>
      <c r="U73" s="50"/>
      <c r="V73" s="50"/>
      <c r="W73" s="160"/>
      <c r="X73" s="50"/>
      <c r="Y73" s="50" t="s">
        <v>1</v>
      </c>
      <c r="Z73" s="5"/>
    </row>
    <row r="74" spans="1:26" ht="9" customHeight="1">
      <c r="A74" s="1"/>
      <c r="B74" s="1"/>
      <c r="C74" s="1"/>
      <c r="D74" s="1"/>
      <c r="E74" s="1"/>
      <c r="F74" s="1"/>
      <c r="G74" s="1"/>
      <c r="H74" s="1"/>
      <c r="I74" s="1"/>
      <c r="J74" s="49"/>
      <c r="K74" s="167"/>
      <c r="L74" s="187"/>
      <c r="M74" s="58"/>
      <c r="N74" s="167"/>
      <c r="O74" s="57"/>
      <c r="P74" s="58"/>
      <c r="Q74" s="167"/>
      <c r="R74" s="57"/>
      <c r="S74" s="58"/>
      <c r="T74" s="167"/>
      <c r="U74" s="57"/>
      <c r="V74" s="58"/>
      <c r="W74" s="167"/>
      <c r="X74" s="57"/>
      <c r="Y74" s="58"/>
      <c r="Z74" s="1"/>
    </row>
    <row r="75" ht="15.75">
      <c r="C75" s="36" t="s">
        <v>127</v>
      </c>
    </row>
    <row r="76" spans="3:24" ht="15.75">
      <c r="C76" s="14" t="s">
        <v>48</v>
      </c>
      <c r="E76" s="15" t="s">
        <v>49</v>
      </c>
      <c r="G76" s="14" t="s">
        <v>50</v>
      </c>
      <c r="W76" s="173"/>
      <c r="X76" s="202"/>
    </row>
    <row r="77" spans="3:6" ht="15.75">
      <c r="C77" s="14" t="s">
        <v>206</v>
      </c>
      <c r="E77" s="9">
        <v>0.1</v>
      </c>
      <c r="F77" s="9"/>
    </row>
    <row r="78" spans="3:7" ht="15.75">
      <c r="C78" s="14" t="s">
        <v>51</v>
      </c>
      <c r="E78" s="175" t="s">
        <v>52</v>
      </c>
      <c r="G78" s="14" t="s">
        <v>53</v>
      </c>
    </row>
    <row r="81" spans="4:22" ht="15.75">
      <c r="D81" s="228" t="s">
        <v>235</v>
      </c>
      <c r="H81" s="226">
        <f>+'RATES-Fed'!$E$29</f>
        <v>0.595</v>
      </c>
      <c r="J81" s="225">
        <f>J70/12*'RATES-Fed'!$C$43</f>
        <v>0</v>
      </c>
      <c r="L81" s="226">
        <f>+'RATES-Fed'!$G$29</f>
        <v>0.6</v>
      </c>
      <c r="M81" s="225">
        <f>M70/12*'RATES-Fed'!$C$43</f>
        <v>0</v>
      </c>
      <c r="O81" s="227">
        <f>+'RATES-Fed'!$I$29</f>
        <v>0.605</v>
      </c>
      <c r="P81" s="225">
        <f>P70/12*'RATES-Fed'!$C$43</f>
        <v>0</v>
      </c>
      <c r="R81" s="227">
        <f>+'RATES-Fed'!$K$29</f>
        <v>0.605</v>
      </c>
      <c r="S81" s="225">
        <f>S70/12*'RATES-Fed'!$C$43</f>
        <v>0</v>
      </c>
      <c r="U81" s="227">
        <f>+'RATES-Fed'!$M$29</f>
        <v>0.605</v>
      </c>
      <c r="V81" s="225">
        <f>V70/12*'RATES-Fed'!$C$43</f>
        <v>0</v>
      </c>
    </row>
    <row r="82" spans="4:22" ht="15.75">
      <c r="D82" s="298" t="s">
        <v>236</v>
      </c>
      <c r="E82" s="310"/>
      <c r="F82" s="310"/>
      <c r="G82" s="310"/>
      <c r="H82" s="226">
        <f>+'RATES-Fed'!$G$29</f>
        <v>0.6</v>
      </c>
      <c r="J82" s="225">
        <f>J70/12*'RATES-Fed'!$D$43</f>
        <v>0</v>
      </c>
      <c r="L82" s="226">
        <f>+'RATES-Fed'!$I$29</f>
        <v>0.605</v>
      </c>
      <c r="M82" s="225">
        <f>M70/12*'RATES-Fed'!$D$43</f>
        <v>0</v>
      </c>
      <c r="O82" s="227">
        <f>+'RATES-Fed'!$K$29</f>
        <v>0.605</v>
      </c>
      <c r="P82" s="225">
        <f>P70/12*'RATES-Fed'!$D$43</f>
        <v>0</v>
      </c>
      <c r="R82" s="227">
        <f>+'RATES-Fed'!$M$29</f>
        <v>0.605</v>
      </c>
      <c r="S82" s="225">
        <f>S70/12*'RATES-Fed'!$D$43</f>
        <v>0</v>
      </c>
      <c r="U82" s="227">
        <f>+'RATES-Fed'!$O$29</f>
        <v>0.605</v>
      </c>
      <c r="V82" s="225">
        <f>V70/12*'RATES-Fed'!$D$43</f>
        <v>0</v>
      </c>
    </row>
    <row r="83" spans="4:22" ht="15.75">
      <c r="D83" s="310"/>
      <c r="E83" s="310"/>
      <c r="F83" s="310"/>
      <c r="G83" s="310"/>
      <c r="J83" s="225">
        <f>SUM(J81:J82)</f>
        <v>0</v>
      </c>
      <c r="M83" s="225">
        <f>SUM(M81:M82)</f>
        <v>0</v>
      </c>
      <c r="P83" s="225">
        <f>SUM(P81:P82)</f>
        <v>0</v>
      </c>
      <c r="S83" s="225">
        <f>SUM(S81:S82)</f>
        <v>0</v>
      </c>
      <c r="V83" s="225">
        <f>SUM(V81:V82)</f>
        <v>0</v>
      </c>
    </row>
    <row r="85" spans="24:26" ht="18.75">
      <c r="X85" s="297"/>
      <c r="Y85" s="297"/>
      <c r="Z85" s="297"/>
    </row>
  </sheetData>
  <sheetProtection/>
  <mergeCells count="8">
    <mergeCell ref="D82:G83"/>
    <mergeCell ref="X85:Z85"/>
    <mergeCell ref="K4:V5"/>
    <mergeCell ref="J8:L8"/>
    <mergeCell ref="M8:O8"/>
    <mergeCell ref="P8:R8"/>
    <mergeCell ref="S8:U8"/>
    <mergeCell ref="V8:X8"/>
  </mergeCells>
  <dataValidations count="1">
    <dataValidation type="list" allowBlank="1" showInputMessage="1" showErrorMessage="1" sqref="D11 D13 D15 D17:D18">
      <formula1>APPTS</formula1>
    </dataValidation>
  </dataValidations>
  <hyperlinks>
    <hyperlink ref="C52" r:id="rId1" display="UC Tuition rates (Not Subject to Indirect)"/>
  </hyperlinks>
  <printOptions horizontalCentered="1"/>
  <pageMargins left="0.25" right="0.25" top="0.75" bottom="0.75" header="0.3" footer="0.3"/>
  <pageSetup fitToHeight="1" fitToWidth="1" horizontalDpi="300" verticalDpi="300" orientation="landscape" scale="43" r:id="rId4"/>
  <legacyDrawing r:id="rId3"/>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IV60"/>
  <sheetViews>
    <sheetView showGridLines="0" zoomScale="70" zoomScaleNormal="70" workbookViewId="0" topLeftCell="A1">
      <selection activeCell="A1" sqref="A1"/>
    </sheetView>
  </sheetViews>
  <sheetFormatPr defaultColWidth="9.625" defaultRowHeight="15.75"/>
  <cols>
    <col min="1" max="1" width="2.625" style="78" customWidth="1"/>
    <col min="2" max="2" width="35.375" style="78" customWidth="1"/>
    <col min="3" max="3" width="4.50390625" style="78" customWidth="1"/>
    <col min="4" max="4" width="4.875" style="78" customWidth="1"/>
    <col min="5" max="5" width="9.625" style="78" customWidth="1"/>
    <col min="6" max="6" width="2.625" style="78" customWidth="1"/>
    <col min="7" max="7" width="9.625" style="78" customWidth="1"/>
    <col min="8" max="8" width="2.625" style="78" customWidth="1"/>
    <col min="9" max="9" width="9.625" style="78" customWidth="1"/>
    <col min="10" max="10" width="2.625" style="78" customWidth="1"/>
    <col min="11" max="11" width="9.625" style="78" customWidth="1"/>
    <col min="12" max="12" width="2.625" style="78" customWidth="1"/>
    <col min="13" max="13" width="9.625" style="78" customWidth="1"/>
    <col min="14" max="14" width="2.625" style="78" customWidth="1"/>
    <col min="15" max="15" width="10.50390625" style="78" customWidth="1"/>
    <col min="16" max="16" width="2.625" style="78" customWidth="1"/>
    <col min="17" max="18" width="9.625" style="78" customWidth="1"/>
    <col min="19" max="21" width="9.625" style="78" hidden="1" customWidth="1"/>
    <col min="22" max="22" width="3.25390625" style="78" hidden="1" customWidth="1"/>
    <col min="23" max="24" width="9.625" style="78" hidden="1" customWidth="1"/>
    <col min="25" max="25" width="9.625" style="78" customWidth="1"/>
    <col min="26" max="16384" width="9.625" style="78" customWidth="1"/>
  </cols>
  <sheetData>
    <row r="1" spans="2:19" ht="15.75">
      <c r="B1" s="216"/>
      <c r="S1" s="216"/>
    </row>
    <row r="2" spans="2:19" ht="15.75">
      <c r="B2" s="229" t="s">
        <v>62</v>
      </c>
      <c r="C2" s="93"/>
      <c r="D2" s="93"/>
      <c r="E2" s="230">
        <v>42917</v>
      </c>
      <c r="F2" s="79" t="s">
        <v>63</v>
      </c>
      <c r="G2" s="230">
        <v>44742</v>
      </c>
      <c r="S2" s="216">
        <f>IF(E3="FY16",#REF!,IF(E3="FY17",T4,IF(E3="FY18",T5,IF(E3="FY19",T6,IF(E3="FY20",T7,IF(E3="FY21",T8,IF(E3="FY22",T9)))))))</f>
        <v>44379</v>
      </c>
    </row>
    <row r="3" spans="2:7" ht="15.75">
      <c r="B3" s="229" t="s">
        <v>237</v>
      </c>
      <c r="C3" s="93"/>
      <c r="D3" s="93"/>
      <c r="E3" s="80" t="s">
        <v>221</v>
      </c>
      <c r="F3" s="81"/>
      <c r="G3" s="80"/>
    </row>
    <row r="4" spans="2:25" ht="18.75">
      <c r="B4" s="229" t="s">
        <v>238</v>
      </c>
      <c r="E4" s="231">
        <f>S2</f>
        <v>44379</v>
      </c>
      <c r="S4" s="90">
        <v>42916</v>
      </c>
      <c r="T4" s="78">
        <f>(DATEVALUE("07/01/2016"))+1462</f>
        <v>44014</v>
      </c>
      <c r="U4" s="232" t="s">
        <v>219</v>
      </c>
      <c r="W4" s="95" t="s">
        <v>109</v>
      </c>
      <c r="X4" s="216"/>
      <c r="Y4" s="216"/>
    </row>
    <row r="5" spans="1:25" ht="15.75">
      <c r="A5" s="233"/>
      <c r="E5" s="234" t="s">
        <v>219</v>
      </c>
      <c r="F5" s="216"/>
      <c r="G5" s="234" t="s">
        <v>221</v>
      </c>
      <c r="I5" s="234" t="s">
        <v>224</v>
      </c>
      <c r="K5" s="234" t="s">
        <v>241</v>
      </c>
      <c r="M5" s="280" t="s">
        <v>248</v>
      </c>
      <c r="O5" s="234" t="s">
        <v>253</v>
      </c>
      <c r="Q5" s="280" t="s">
        <v>265</v>
      </c>
      <c r="S5" s="90">
        <v>43281</v>
      </c>
      <c r="T5" s="78">
        <f>(DATEVALUE("07/01/2017"))+1462</f>
        <v>44379</v>
      </c>
      <c r="U5" s="232" t="s">
        <v>221</v>
      </c>
      <c r="W5" s="93" t="s">
        <v>220</v>
      </c>
      <c r="X5" s="246" t="s">
        <v>255</v>
      </c>
      <c r="Y5" s="93"/>
    </row>
    <row r="6" spans="1:256" ht="15.75">
      <c r="A6" s="235"/>
      <c r="B6" s="219" t="s">
        <v>64</v>
      </c>
      <c r="C6" s="235"/>
      <c r="D6" s="235"/>
      <c r="E6" s="236" t="s">
        <v>222</v>
      </c>
      <c r="F6" s="216"/>
      <c r="G6" s="236" t="s">
        <v>239</v>
      </c>
      <c r="I6" s="236" t="s">
        <v>240</v>
      </c>
      <c r="K6" s="236" t="s">
        <v>247</v>
      </c>
      <c r="M6" s="281" t="s">
        <v>259</v>
      </c>
      <c r="O6" s="281" t="s">
        <v>266</v>
      </c>
      <c r="Q6" s="281" t="s">
        <v>267</v>
      </c>
      <c r="R6" s="235"/>
      <c r="S6" s="90">
        <v>43646</v>
      </c>
      <c r="T6" s="78">
        <f>(DATEVALUE("07/01/2018"))+1462</f>
        <v>44744</v>
      </c>
      <c r="U6" s="232" t="s">
        <v>224</v>
      </c>
      <c r="V6" s="235"/>
      <c r="W6" s="93" t="s">
        <v>225</v>
      </c>
      <c r="X6" s="94" t="s">
        <v>226</v>
      </c>
      <c r="Y6" s="216"/>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235"/>
      <c r="BG6" s="235"/>
      <c r="BH6" s="235"/>
      <c r="BI6" s="235"/>
      <c r="BJ6" s="235"/>
      <c r="BK6" s="235"/>
      <c r="BL6" s="235"/>
      <c r="BM6" s="235"/>
      <c r="BN6" s="235"/>
      <c r="BO6" s="235"/>
      <c r="BP6" s="235"/>
      <c r="BQ6" s="235"/>
      <c r="BR6" s="235"/>
      <c r="BS6" s="235"/>
      <c r="BT6" s="235"/>
      <c r="BU6" s="235"/>
      <c r="BV6" s="235"/>
      <c r="BW6" s="235"/>
      <c r="BX6" s="235"/>
      <c r="BY6" s="235"/>
      <c r="BZ6" s="235"/>
      <c r="CA6" s="235"/>
      <c r="CB6" s="235"/>
      <c r="CC6" s="235"/>
      <c r="CD6" s="235"/>
      <c r="CE6" s="235"/>
      <c r="CF6" s="235"/>
      <c r="CG6" s="235"/>
      <c r="CH6" s="235"/>
      <c r="CI6" s="235"/>
      <c r="CJ6" s="235"/>
      <c r="CK6" s="235"/>
      <c r="CL6" s="235"/>
      <c r="CM6" s="235"/>
      <c r="CN6" s="235"/>
      <c r="CO6" s="235"/>
      <c r="CP6" s="235"/>
      <c r="CQ6" s="235"/>
      <c r="CR6" s="235"/>
      <c r="CS6" s="235"/>
      <c r="CT6" s="235"/>
      <c r="CU6" s="235"/>
      <c r="CV6" s="235"/>
      <c r="CW6" s="235"/>
      <c r="CX6" s="235"/>
      <c r="CY6" s="235"/>
      <c r="CZ6" s="235"/>
      <c r="DA6" s="235"/>
      <c r="DB6" s="235"/>
      <c r="DC6" s="235"/>
      <c r="DD6" s="235"/>
      <c r="DE6" s="235"/>
      <c r="DF6" s="235"/>
      <c r="DG6" s="235"/>
      <c r="DH6" s="235"/>
      <c r="DI6" s="235"/>
      <c r="DJ6" s="235"/>
      <c r="DK6" s="235"/>
      <c r="DL6" s="235"/>
      <c r="DM6" s="235"/>
      <c r="DN6" s="235"/>
      <c r="DO6" s="235"/>
      <c r="DP6" s="235"/>
      <c r="DQ6" s="235"/>
      <c r="DR6" s="235"/>
      <c r="DS6" s="235"/>
      <c r="DT6" s="235"/>
      <c r="DU6" s="235"/>
      <c r="DV6" s="235"/>
      <c r="DW6" s="235"/>
      <c r="DX6" s="235"/>
      <c r="DY6" s="235"/>
      <c r="DZ6" s="235"/>
      <c r="EA6" s="235"/>
      <c r="EB6" s="235"/>
      <c r="EC6" s="235"/>
      <c r="ED6" s="235"/>
      <c r="EE6" s="235"/>
      <c r="EF6" s="235"/>
      <c r="EG6" s="235"/>
      <c r="EH6" s="235"/>
      <c r="EI6" s="235"/>
      <c r="EJ6" s="235"/>
      <c r="EK6" s="235"/>
      <c r="EL6" s="235"/>
      <c r="EM6" s="235"/>
      <c r="EN6" s="235"/>
      <c r="EO6" s="235"/>
      <c r="EP6" s="235"/>
      <c r="EQ6" s="235"/>
      <c r="ER6" s="235"/>
      <c r="ES6" s="235"/>
      <c r="ET6" s="235"/>
      <c r="EU6" s="235"/>
      <c r="EV6" s="235"/>
      <c r="EW6" s="235"/>
      <c r="EX6" s="235"/>
      <c r="EY6" s="235"/>
      <c r="EZ6" s="235"/>
      <c r="FA6" s="235"/>
      <c r="FB6" s="235"/>
      <c r="FC6" s="235"/>
      <c r="FD6" s="235"/>
      <c r="FE6" s="235"/>
      <c r="FF6" s="235"/>
      <c r="FG6" s="235"/>
      <c r="FH6" s="235"/>
      <c r="FI6" s="235"/>
      <c r="FJ6" s="235"/>
      <c r="FK6" s="235"/>
      <c r="FL6" s="235"/>
      <c r="FM6" s="235"/>
      <c r="FN6" s="235"/>
      <c r="FO6" s="235"/>
      <c r="FP6" s="235"/>
      <c r="FQ6" s="235"/>
      <c r="FR6" s="235"/>
      <c r="FS6" s="235"/>
      <c r="FT6" s="235"/>
      <c r="FU6" s="235"/>
      <c r="FV6" s="235"/>
      <c r="FW6" s="235"/>
      <c r="FX6" s="235"/>
      <c r="FY6" s="235"/>
      <c r="FZ6" s="235"/>
      <c r="GA6" s="235"/>
      <c r="GB6" s="235"/>
      <c r="GC6" s="235"/>
      <c r="GD6" s="235"/>
      <c r="GE6" s="235"/>
      <c r="GF6" s="235"/>
      <c r="GG6" s="235"/>
      <c r="GH6" s="235"/>
      <c r="GI6" s="235"/>
      <c r="GJ6" s="235"/>
      <c r="GK6" s="235"/>
      <c r="GL6" s="235"/>
      <c r="GM6" s="235"/>
      <c r="GN6" s="235"/>
      <c r="GO6" s="235"/>
      <c r="GP6" s="235"/>
      <c r="GQ6" s="235"/>
      <c r="GR6" s="235"/>
      <c r="GS6" s="235"/>
      <c r="GT6" s="235"/>
      <c r="GU6" s="235"/>
      <c r="GV6" s="235"/>
      <c r="GW6" s="235"/>
      <c r="GX6" s="235"/>
      <c r="GY6" s="235"/>
      <c r="GZ6" s="235"/>
      <c r="HA6" s="235"/>
      <c r="HB6" s="235"/>
      <c r="HC6" s="235"/>
      <c r="HD6" s="235"/>
      <c r="HE6" s="235"/>
      <c r="HF6" s="235"/>
      <c r="HG6" s="235"/>
      <c r="HH6" s="235"/>
      <c r="HI6" s="235"/>
      <c r="HJ6" s="235"/>
      <c r="HK6" s="235"/>
      <c r="HL6" s="235"/>
      <c r="HM6" s="235"/>
      <c r="HN6" s="235"/>
      <c r="HO6" s="235"/>
      <c r="HP6" s="235"/>
      <c r="HQ6" s="235"/>
      <c r="HR6" s="235"/>
      <c r="HS6" s="235"/>
      <c r="HT6" s="235"/>
      <c r="HU6" s="235"/>
      <c r="HV6" s="235"/>
      <c r="HW6" s="235"/>
      <c r="HX6" s="235"/>
      <c r="HY6" s="235"/>
      <c r="HZ6" s="235"/>
      <c r="IA6" s="235"/>
      <c r="IB6" s="235"/>
      <c r="IC6" s="235"/>
      <c r="ID6" s="235"/>
      <c r="IE6" s="235"/>
      <c r="IF6" s="235"/>
      <c r="IG6" s="235"/>
      <c r="IH6" s="235"/>
      <c r="II6" s="235"/>
      <c r="IJ6" s="235"/>
      <c r="IK6" s="235"/>
      <c r="IL6" s="235"/>
      <c r="IM6" s="235"/>
      <c r="IN6" s="235"/>
      <c r="IO6" s="235"/>
      <c r="IP6" s="235"/>
      <c r="IQ6" s="235"/>
      <c r="IR6" s="235"/>
      <c r="IS6" s="235"/>
      <c r="IT6" s="235"/>
      <c r="IU6" s="235"/>
      <c r="IV6" s="235"/>
    </row>
    <row r="7" spans="2:25" ht="15.75">
      <c r="B7" s="82" t="s">
        <v>65</v>
      </c>
      <c r="E7" s="215">
        <v>0.31</v>
      </c>
      <c r="F7" s="216"/>
      <c r="G7" s="215">
        <v>0.282</v>
      </c>
      <c r="H7" s="216"/>
      <c r="I7" s="215">
        <v>0.292</v>
      </c>
      <c r="J7" s="216"/>
      <c r="K7" s="215">
        <v>0.297</v>
      </c>
      <c r="M7" s="215">
        <v>0.307</v>
      </c>
      <c r="O7" s="282">
        <v>0.312</v>
      </c>
      <c r="Q7" s="282">
        <v>0.322</v>
      </c>
      <c r="S7" s="90">
        <v>44012</v>
      </c>
      <c r="T7" s="78">
        <f>(DATEVALUE("07/01/2019"))+1462</f>
        <v>45109</v>
      </c>
      <c r="U7" s="232" t="s">
        <v>241</v>
      </c>
      <c r="W7" s="93" t="s">
        <v>242</v>
      </c>
      <c r="X7" s="246" t="s">
        <v>256</v>
      </c>
      <c r="Y7" s="93"/>
    </row>
    <row r="8" spans="2:25" ht="15.75">
      <c r="B8" s="82" t="s">
        <v>87</v>
      </c>
      <c r="E8" s="215">
        <v>0.311</v>
      </c>
      <c r="F8" s="216"/>
      <c r="G8" s="215">
        <v>0.337</v>
      </c>
      <c r="H8" s="216"/>
      <c r="I8" s="215">
        <v>0.347</v>
      </c>
      <c r="J8" s="216"/>
      <c r="K8" s="215">
        <v>0.352</v>
      </c>
      <c r="M8" s="215">
        <v>0.362</v>
      </c>
      <c r="O8" s="215">
        <v>0.367</v>
      </c>
      <c r="Q8" s="282">
        <v>0.377</v>
      </c>
      <c r="S8" s="90">
        <v>44377</v>
      </c>
      <c r="T8" s="78">
        <f>(DATEVALUE("07/01/2020"))+1462</f>
        <v>45475</v>
      </c>
      <c r="U8" s="232" t="s">
        <v>248</v>
      </c>
      <c r="W8" s="93" t="s">
        <v>243</v>
      </c>
      <c r="X8" s="246" t="s">
        <v>257</v>
      </c>
      <c r="Y8" s="216"/>
    </row>
    <row r="9" spans="2:25" ht="15.75">
      <c r="B9" s="82" t="s">
        <v>66</v>
      </c>
      <c r="E9" s="215">
        <v>0.386</v>
      </c>
      <c r="F9" s="216"/>
      <c r="G9" s="215">
        <v>0.418</v>
      </c>
      <c r="H9" s="216"/>
      <c r="I9" s="215">
        <v>0.428</v>
      </c>
      <c r="J9" s="216"/>
      <c r="K9" s="215">
        <v>0.433</v>
      </c>
      <c r="M9" s="215">
        <v>0.443</v>
      </c>
      <c r="O9" s="215">
        <v>0.448</v>
      </c>
      <c r="Q9" s="282">
        <v>0.548</v>
      </c>
      <c r="S9" s="90">
        <v>44742</v>
      </c>
      <c r="T9" s="78">
        <f>(DATEVALUE("07/01/2021"))+1462</f>
        <v>45840</v>
      </c>
      <c r="U9" s="248" t="s">
        <v>253</v>
      </c>
      <c r="W9" s="93" t="s">
        <v>254</v>
      </c>
      <c r="X9" s="247" t="s">
        <v>258</v>
      </c>
      <c r="Y9" s="93"/>
    </row>
    <row r="10" spans="2:25" ht="15.75">
      <c r="B10" s="82" t="s">
        <v>67</v>
      </c>
      <c r="E10" s="215">
        <v>0.085</v>
      </c>
      <c r="F10" s="216"/>
      <c r="G10" s="215">
        <v>0.074</v>
      </c>
      <c r="H10" s="216"/>
      <c r="I10" s="215">
        <v>0.079</v>
      </c>
      <c r="J10" s="216"/>
      <c r="K10" s="215">
        <v>0.079</v>
      </c>
      <c r="M10" s="215">
        <v>0.079</v>
      </c>
      <c r="O10" s="215">
        <v>0.079</v>
      </c>
      <c r="Q10" s="282">
        <v>0.079</v>
      </c>
      <c r="S10" s="90">
        <v>45107</v>
      </c>
      <c r="T10" s="78">
        <f>(DATEVALUE("07/01/2022"))+1462</f>
        <v>46205</v>
      </c>
      <c r="U10" s="232" t="s">
        <v>265</v>
      </c>
      <c r="W10" s="93" t="s">
        <v>263</v>
      </c>
      <c r="X10" s="246" t="s">
        <v>264</v>
      </c>
      <c r="Y10" s="93"/>
    </row>
    <row r="11" spans="2:25" ht="15.75">
      <c r="B11" s="82" t="s">
        <v>88</v>
      </c>
      <c r="E11" s="215">
        <v>0.247</v>
      </c>
      <c r="F11" s="216"/>
      <c r="G11" s="215">
        <v>0.234</v>
      </c>
      <c r="H11" s="216"/>
      <c r="I11" s="215">
        <v>0.239</v>
      </c>
      <c r="J11" s="216"/>
      <c r="K11" s="215">
        <v>0.244</v>
      </c>
      <c r="M11" s="215">
        <v>0.249</v>
      </c>
      <c r="O11" s="215">
        <v>0.253</v>
      </c>
      <c r="Q11" s="282">
        <v>0.259</v>
      </c>
      <c r="S11" s="90">
        <v>45473</v>
      </c>
      <c r="T11" s="78">
        <f>(DATEVALUE("07/01/2023"))+1462</f>
        <v>46570</v>
      </c>
      <c r="U11" s="232" t="s">
        <v>268</v>
      </c>
      <c r="W11" s="93" t="s">
        <v>269</v>
      </c>
      <c r="X11" s="246" t="s">
        <v>270</v>
      </c>
      <c r="Y11" s="93"/>
    </row>
    <row r="12" spans="5:15" ht="15.75">
      <c r="E12" s="215"/>
      <c r="F12" s="83"/>
      <c r="G12" s="215"/>
      <c r="I12" s="215"/>
      <c r="J12" s="243" t="s">
        <v>246</v>
      </c>
      <c r="K12" s="215"/>
      <c r="M12" s="215"/>
      <c r="O12" s="215"/>
    </row>
    <row r="13" spans="2:20" ht="15.75">
      <c r="B13" s="219" t="s">
        <v>227</v>
      </c>
      <c r="E13" s="83"/>
      <c r="F13" s="83"/>
      <c r="G13" s="83"/>
      <c r="I13" s="83"/>
      <c r="K13" s="83"/>
      <c r="M13" s="83"/>
      <c r="O13" s="83"/>
      <c r="Q13" s="83"/>
      <c r="S13" s="88" t="s">
        <v>219</v>
      </c>
      <c r="T13" s="216">
        <v>2018</v>
      </c>
    </row>
    <row r="14" spans="2:20" ht="15.75">
      <c r="B14" s="82" t="s">
        <v>228</v>
      </c>
      <c r="E14" s="215">
        <v>0.58</v>
      </c>
      <c r="F14" s="215"/>
      <c r="G14" s="215">
        <v>0.595</v>
      </c>
      <c r="H14" s="215"/>
      <c r="I14" s="215">
        <v>0.6</v>
      </c>
      <c r="J14" s="215"/>
      <c r="K14" s="215">
        <v>0.605</v>
      </c>
      <c r="L14" s="215"/>
      <c r="M14" s="215">
        <v>0.605</v>
      </c>
      <c r="N14" s="215"/>
      <c r="O14" s="215">
        <v>0.605</v>
      </c>
      <c r="Q14" s="215">
        <f>+O14</f>
        <v>0.605</v>
      </c>
      <c r="S14" s="88" t="s">
        <v>221</v>
      </c>
      <c r="T14" s="216">
        <v>2019</v>
      </c>
    </row>
    <row r="15" spans="2:22" ht="15.75">
      <c r="B15" s="82" t="s">
        <v>229</v>
      </c>
      <c r="E15" s="215">
        <v>0.57</v>
      </c>
      <c r="F15" s="215"/>
      <c r="G15" s="215">
        <v>0.57</v>
      </c>
      <c r="H15" s="215"/>
      <c r="I15" s="215">
        <v>0.57</v>
      </c>
      <c r="J15" s="215"/>
      <c r="K15" s="215">
        <v>0.57</v>
      </c>
      <c r="L15" s="215"/>
      <c r="M15" s="215">
        <v>0.57</v>
      </c>
      <c r="N15" s="215"/>
      <c r="O15" s="215">
        <v>0.57</v>
      </c>
      <c r="Q15" s="215">
        <f>+O15</f>
        <v>0.57</v>
      </c>
      <c r="S15" s="88" t="s">
        <v>224</v>
      </c>
      <c r="T15" s="216">
        <v>2020</v>
      </c>
      <c r="V15" s="90"/>
    </row>
    <row r="16" spans="2:20" ht="15.75">
      <c r="B16" s="82" t="s">
        <v>230</v>
      </c>
      <c r="E16" s="215">
        <v>0.3</v>
      </c>
      <c r="F16" s="215"/>
      <c r="G16" s="215">
        <v>0.3</v>
      </c>
      <c r="H16" s="215"/>
      <c r="I16" s="215">
        <v>0.3</v>
      </c>
      <c r="J16" s="215"/>
      <c r="K16" s="215">
        <v>0.3</v>
      </c>
      <c r="L16" s="215"/>
      <c r="M16" s="215">
        <v>0.3</v>
      </c>
      <c r="N16" s="215"/>
      <c r="O16" s="215">
        <v>0.3</v>
      </c>
      <c r="Q16" s="215">
        <f>+O16</f>
        <v>0.3</v>
      </c>
      <c r="S16" s="88" t="s">
        <v>241</v>
      </c>
      <c r="T16" s="216">
        <v>2021</v>
      </c>
    </row>
    <row r="17" spans="5:20" ht="15.75">
      <c r="E17" s="215"/>
      <c r="F17" s="83"/>
      <c r="G17" s="215"/>
      <c r="H17" s="83"/>
      <c r="I17" s="215"/>
      <c r="J17" s="83"/>
      <c r="K17" s="215"/>
      <c r="M17" s="215"/>
      <c r="O17" s="215"/>
      <c r="Q17" s="215"/>
      <c r="S17" s="88" t="s">
        <v>248</v>
      </c>
      <c r="T17" s="216">
        <v>2022</v>
      </c>
    </row>
    <row r="18" spans="2:26" ht="15.75">
      <c r="B18" s="219" t="s">
        <v>244</v>
      </c>
      <c r="E18" s="83"/>
      <c r="F18" s="83"/>
      <c r="G18" s="83"/>
      <c r="H18" s="83"/>
      <c r="I18" s="83"/>
      <c r="J18" s="83"/>
      <c r="K18" s="83"/>
      <c r="M18" s="83"/>
      <c r="O18" s="83"/>
      <c r="Q18" s="83"/>
      <c r="S18" s="88" t="s">
        <v>253</v>
      </c>
      <c r="T18" s="216">
        <v>2023</v>
      </c>
      <c r="Z18" s="243"/>
    </row>
    <row r="19" spans="2:20" ht="15.75">
      <c r="B19" s="82" t="s">
        <v>228</v>
      </c>
      <c r="E19" s="215">
        <v>0.26</v>
      </c>
      <c r="F19" s="83"/>
      <c r="G19" s="215">
        <v>0.26</v>
      </c>
      <c r="H19" s="83"/>
      <c r="I19" s="215">
        <v>0.26</v>
      </c>
      <c r="J19" s="83"/>
      <c r="K19" s="215">
        <v>0.26</v>
      </c>
      <c r="M19" s="215">
        <v>0.26</v>
      </c>
      <c r="O19" s="215">
        <v>0.26</v>
      </c>
      <c r="Q19" s="215">
        <v>0.26</v>
      </c>
      <c r="S19" s="88" t="s">
        <v>265</v>
      </c>
      <c r="T19" s="216">
        <v>2024</v>
      </c>
    </row>
    <row r="20" spans="2:20" ht="15.75">
      <c r="B20" s="82" t="s">
        <v>229</v>
      </c>
      <c r="E20" s="215">
        <v>0.26</v>
      </c>
      <c r="F20" s="83"/>
      <c r="G20" s="215">
        <v>0.26</v>
      </c>
      <c r="H20" s="83"/>
      <c r="I20" s="215">
        <v>0.26</v>
      </c>
      <c r="J20" s="83"/>
      <c r="K20" s="215">
        <v>0.26</v>
      </c>
      <c r="M20" s="215">
        <v>0.26</v>
      </c>
      <c r="O20" s="215">
        <v>0.26</v>
      </c>
      <c r="Q20" s="215">
        <v>0.26</v>
      </c>
      <c r="S20" s="88" t="s">
        <v>268</v>
      </c>
      <c r="T20" s="216">
        <v>2025</v>
      </c>
    </row>
    <row r="21" spans="2:21" ht="15.75">
      <c r="B21" s="82" t="s">
        <v>230</v>
      </c>
      <c r="E21" s="215">
        <v>0.26</v>
      </c>
      <c r="F21" s="83"/>
      <c r="G21" s="215">
        <v>0.26</v>
      </c>
      <c r="H21" s="83"/>
      <c r="I21" s="215">
        <v>0.26</v>
      </c>
      <c r="J21" s="83"/>
      <c r="K21" s="215">
        <v>0.26</v>
      </c>
      <c r="M21" s="215">
        <v>0.26</v>
      </c>
      <c r="O21" s="215">
        <v>0.26</v>
      </c>
      <c r="Q21" s="215">
        <v>0.26</v>
      </c>
      <c r="U21" s="216"/>
    </row>
    <row r="23" spans="1:256" ht="15.75">
      <c r="A23" s="235"/>
      <c r="B23" s="237" t="s">
        <v>101</v>
      </c>
      <c r="C23" s="238"/>
      <c r="D23" s="238"/>
      <c r="E23" s="239" t="s">
        <v>22</v>
      </c>
      <c r="F23" s="238"/>
      <c r="G23" s="239" t="s">
        <v>55</v>
      </c>
      <c r="H23" s="238"/>
      <c r="I23" s="239" t="s">
        <v>57</v>
      </c>
      <c r="J23" s="238"/>
      <c r="K23" s="239" t="s">
        <v>59</v>
      </c>
      <c r="L23" s="238"/>
      <c r="M23" s="239" t="s">
        <v>61</v>
      </c>
      <c r="N23" s="238"/>
      <c r="O23" s="239" t="s">
        <v>102</v>
      </c>
      <c r="P23" s="238"/>
      <c r="Q23" s="239" t="s">
        <v>103</v>
      </c>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c r="BE23" s="235"/>
      <c r="BF23" s="235"/>
      <c r="BG23" s="235"/>
      <c r="BH23" s="235"/>
      <c r="BI23" s="235"/>
      <c r="BJ23" s="235"/>
      <c r="BK23" s="235"/>
      <c r="BL23" s="235"/>
      <c r="BM23" s="235"/>
      <c r="BN23" s="235"/>
      <c r="BO23" s="235"/>
      <c r="BP23" s="235"/>
      <c r="BQ23" s="235"/>
      <c r="BR23" s="235"/>
      <c r="BS23" s="235"/>
      <c r="BT23" s="235"/>
      <c r="BU23" s="235"/>
      <c r="BV23" s="235"/>
      <c r="BW23" s="235"/>
      <c r="BX23" s="235"/>
      <c r="BY23" s="235"/>
      <c r="BZ23" s="235"/>
      <c r="CA23" s="235"/>
      <c r="CB23" s="235"/>
      <c r="CC23" s="235"/>
      <c r="CD23" s="235"/>
      <c r="CE23" s="235"/>
      <c r="CF23" s="235"/>
      <c r="CG23" s="235"/>
      <c r="CH23" s="235"/>
      <c r="CI23" s="235"/>
      <c r="CJ23" s="235"/>
      <c r="CK23" s="235"/>
      <c r="CL23" s="235"/>
      <c r="CM23" s="235"/>
      <c r="CN23" s="235"/>
      <c r="CO23" s="235"/>
      <c r="CP23" s="235"/>
      <c r="CQ23" s="235"/>
      <c r="CR23" s="235"/>
      <c r="CS23" s="235"/>
      <c r="CT23" s="235"/>
      <c r="CU23" s="235"/>
      <c r="CV23" s="235"/>
      <c r="CW23" s="235"/>
      <c r="CX23" s="235"/>
      <c r="CY23" s="235"/>
      <c r="CZ23" s="235"/>
      <c r="DA23" s="235"/>
      <c r="DB23" s="235"/>
      <c r="DC23" s="235"/>
      <c r="DD23" s="235"/>
      <c r="DE23" s="235"/>
      <c r="DF23" s="235"/>
      <c r="DG23" s="235"/>
      <c r="DH23" s="235"/>
      <c r="DI23" s="235"/>
      <c r="DJ23" s="235"/>
      <c r="DK23" s="235"/>
      <c r="DL23" s="235"/>
      <c r="DM23" s="235"/>
      <c r="DN23" s="235"/>
      <c r="DO23" s="235"/>
      <c r="DP23" s="235"/>
      <c r="DQ23" s="235"/>
      <c r="DR23" s="235"/>
      <c r="DS23" s="235"/>
      <c r="DT23" s="235"/>
      <c r="DU23" s="235"/>
      <c r="DV23" s="235"/>
      <c r="DW23" s="235"/>
      <c r="DX23" s="235"/>
      <c r="DY23" s="235"/>
      <c r="DZ23" s="235"/>
      <c r="EA23" s="235"/>
      <c r="EB23" s="235"/>
      <c r="EC23" s="235"/>
      <c r="ED23" s="235"/>
      <c r="EE23" s="235"/>
      <c r="EF23" s="235"/>
      <c r="EG23" s="235"/>
      <c r="EH23" s="235"/>
      <c r="EI23" s="235"/>
      <c r="EJ23" s="235"/>
      <c r="EK23" s="235"/>
      <c r="EL23" s="235"/>
      <c r="EM23" s="235"/>
      <c r="EN23" s="235"/>
      <c r="EO23" s="235"/>
      <c r="EP23" s="235"/>
      <c r="EQ23" s="235"/>
      <c r="ER23" s="235"/>
      <c r="ES23" s="235"/>
      <c r="ET23" s="235"/>
      <c r="EU23" s="235"/>
      <c r="EV23" s="235"/>
      <c r="EW23" s="235"/>
      <c r="EX23" s="235"/>
      <c r="EY23" s="235"/>
      <c r="EZ23" s="235"/>
      <c r="FA23" s="235"/>
      <c r="FB23" s="235"/>
      <c r="FC23" s="235"/>
      <c r="FD23" s="235"/>
      <c r="FE23" s="235"/>
      <c r="FF23" s="235"/>
      <c r="FG23" s="235"/>
      <c r="FH23" s="235"/>
      <c r="FI23" s="235"/>
      <c r="FJ23" s="235"/>
      <c r="FK23" s="235"/>
      <c r="FL23" s="235"/>
      <c r="FM23" s="235"/>
      <c r="FN23" s="235"/>
      <c r="FO23" s="235"/>
      <c r="FP23" s="235"/>
      <c r="FQ23" s="235"/>
      <c r="FR23" s="235"/>
      <c r="FS23" s="235"/>
      <c r="FT23" s="235"/>
      <c r="FU23" s="235"/>
      <c r="FV23" s="235"/>
      <c r="FW23" s="235"/>
      <c r="FX23" s="235"/>
      <c r="FY23" s="235"/>
      <c r="FZ23" s="235"/>
      <c r="GA23" s="235"/>
      <c r="GB23" s="235"/>
      <c r="GC23" s="235"/>
      <c r="GD23" s="235"/>
      <c r="GE23" s="235"/>
      <c r="GF23" s="235"/>
      <c r="GG23" s="235"/>
      <c r="GH23" s="235"/>
      <c r="GI23" s="235"/>
      <c r="GJ23" s="235"/>
      <c r="GK23" s="235"/>
      <c r="GL23" s="235"/>
      <c r="GM23" s="235"/>
      <c r="GN23" s="235"/>
      <c r="GO23" s="235"/>
      <c r="GP23" s="235"/>
      <c r="GQ23" s="235"/>
      <c r="GR23" s="235"/>
      <c r="GS23" s="235"/>
      <c r="GT23" s="235"/>
      <c r="GU23" s="235"/>
      <c r="GV23" s="235"/>
      <c r="GW23" s="235"/>
      <c r="GX23" s="235"/>
      <c r="GY23" s="235"/>
      <c r="GZ23" s="235"/>
      <c r="HA23" s="235"/>
      <c r="HB23" s="235"/>
      <c r="HC23" s="235"/>
      <c r="HD23" s="235"/>
      <c r="HE23" s="235"/>
      <c r="HF23" s="235"/>
      <c r="HG23" s="235"/>
      <c r="HH23" s="235"/>
      <c r="HI23" s="235"/>
      <c r="HJ23" s="235"/>
      <c r="HK23" s="235"/>
      <c r="HL23" s="235"/>
      <c r="HM23" s="235"/>
      <c r="HN23" s="235"/>
      <c r="HO23" s="235"/>
      <c r="HP23" s="235"/>
      <c r="HQ23" s="235"/>
      <c r="HR23" s="235"/>
      <c r="HS23" s="235"/>
      <c r="HT23" s="235"/>
      <c r="HU23" s="235"/>
      <c r="HV23" s="235"/>
      <c r="HW23" s="235"/>
      <c r="HX23" s="235"/>
      <c r="HY23" s="235"/>
      <c r="HZ23" s="235"/>
      <c r="IA23" s="235"/>
      <c r="IB23" s="235"/>
      <c r="IC23" s="235"/>
      <c r="ID23" s="235"/>
      <c r="IE23" s="235"/>
      <c r="IF23" s="235"/>
      <c r="IG23" s="235"/>
      <c r="IH23" s="235"/>
      <c r="II23" s="235"/>
      <c r="IJ23" s="235"/>
      <c r="IK23" s="235"/>
      <c r="IL23" s="235"/>
      <c r="IM23" s="235"/>
      <c r="IN23" s="235"/>
      <c r="IO23" s="235"/>
      <c r="IP23" s="235"/>
      <c r="IQ23" s="235"/>
      <c r="IR23" s="235"/>
      <c r="IS23" s="235"/>
      <c r="IT23" s="235"/>
      <c r="IU23" s="235"/>
      <c r="IV23" s="235"/>
    </row>
    <row r="24" spans="2:17" ht="15.75">
      <c r="B24" s="240" t="s">
        <v>65</v>
      </c>
      <c r="C24" s="85"/>
      <c r="D24" s="85"/>
      <c r="E24" s="84">
        <f>IF($E$3="FY17",E7,IF($E$3="FY18",G7,IF($E$3="FY19",I7,IF($E$3="FY20",K7,IF($E$3="FY21",M7,IF($E$3="FY22",O7,IF($E$3="FY23",Q7,0)))))))</f>
        <v>0.282</v>
      </c>
      <c r="F24" s="84"/>
      <c r="G24" s="84">
        <f>IF($E$3="FY17",G7,IF($E$3="FY18",I7,IF($E$3="FY19",K7,IF($E$3="FY20",M7,IF($E$3="FY21",O7,IF($E$3="FY22",Q7,IF($E$3="FY23",Q7+0.01,0)))))))</f>
        <v>0.292</v>
      </c>
      <c r="H24" s="84"/>
      <c r="I24" s="84">
        <f>IF($E$3="FY17",I7,IF($E$3="FY18",K7,IF($E$3="FY19",M7,IF($E$3="FY20",N7,IF($E$3="FY21",O7,IF($E$3="FY22",Q7+0.01,IF($E$3="FY23",Q7+0.015,0)))))))</f>
        <v>0.297</v>
      </c>
      <c r="J24" s="84"/>
      <c r="K24" s="84">
        <f>IF($E$3="FY17",K7,IF($E$3="FY18",M7,IF($E$3="FY19",O7,IF($E$3="FY20",Q7,IF($E$3="FY21",Q7+0.005,IF($E$3="FY22",Q7+0.01,IF($E$3="FY23",Q7+0.015,0)))))))</f>
        <v>0.307</v>
      </c>
      <c r="L24" s="84"/>
      <c r="M24" s="84">
        <f>IF($E$3="FY17",M7,IF($E$3="FY18",O7,IF($E$3="FY19",Q7,IF($E$3="FY20",Q7+0.005,IF($E$3="FY21",Q7+0.01,IF($E$3="FY22",Q7+0.015,IF($E$3="FY23",Q7+0.02,0)))))))</f>
        <v>0.312</v>
      </c>
      <c r="N24" s="84"/>
      <c r="O24" s="84">
        <f>IF($E$3="FY17",O7,IF($E$3="FY18",Q7,IF($E$3="FY19",Q7+0.005,IF($E$3="FY20",Q7+0.01,IF($E$3="FY21",Q7+0.015,IF($E$3="FY22",Q7+0.02,IF($E$3="FY23",Q7+0.025,0)))))))</f>
        <v>0.322</v>
      </c>
      <c r="P24" s="84"/>
      <c r="Q24" s="84">
        <f>IF($E$3="FY17",Q7,IF($E$3="FY18",Q7+0.005,IF($E$3="FY19",Q7+0.01,IF($E$3="FY20",Q7+0.015,IF($E$3="FY21",Q7+0.02,IF($E$3="FY22",Q7+0.025,IF($E$3="FY23",Q7+0.03,0)))))))</f>
        <v>0.327</v>
      </c>
    </row>
    <row r="25" spans="2:17" ht="15.75">
      <c r="B25" s="240" t="s">
        <v>87</v>
      </c>
      <c r="C25" s="85"/>
      <c r="D25" s="85"/>
      <c r="E25" s="84">
        <f>IF($E$3="FY17",E8,IF($E$3="FY18",G8,IF($E$3="FY19",I8,IF($E$3="FY20",K8,IF($E$3="FY21",M8,IF($E$3="FY22",O8,IF($E$3="FY23",Q8,0)))))))</f>
        <v>0.337</v>
      </c>
      <c r="F25" s="85"/>
      <c r="G25" s="84">
        <f>IF($E$3="FY17",G8,IF($E$3="FY18",I8,IF($E$3="FY19",K8,IF($E$3="FY20",M8,IF($E$3="FY21",O8,IF($E$3="FY22",Q8,IF($E$3="FY23",Q8+0.01,0)))))))</f>
        <v>0.347</v>
      </c>
      <c r="H25" s="84"/>
      <c r="I25" s="84">
        <f>IF($E$3="FY17",I8,IF($E$3="FY18",K8,IF($E$3="FY19",M8,IF($E$3="FY20",N8,IF($E$3="FY21",O8,IF($E$3="FY22",Q8+0.01,IF($E$3="FY23",Q8+0.015,0)))))))</f>
        <v>0.352</v>
      </c>
      <c r="J25" s="85"/>
      <c r="K25" s="84">
        <f>IF($E$3="FY17",K8,IF($E$3="FY18",M8,IF($E$3="FY19",O8,IF($E$3="FY20",Q8,IF($E$3="FY21",Q8+0.005,IF($E$3="FY22",Q8+0.01,IF($E$3="FY23",Q8+0.015,0)))))))</f>
        <v>0.362</v>
      </c>
      <c r="L25" s="85"/>
      <c r="M25" s="84">
        <f>IF($E$3="FY17",M8,IF($E$3="FY18",O8,IF($E$3="FY19",Q8,IF($E$3="FY20",Q8+0.005,IF($E$3="FY21",Q8+0.01,IF($E$3="FY22",Q8+0.015,IF($E$3="FY23",Q8+0.02,0)))))))</f>
        <v>0.367</v>
      </c>
      <c r="N25" s="85"/>
      <c r="O25" s="84">
        <f>IF($E$3="FY17",O8,IF($E$3="FY18",Q8,IF($E$3="FY19",Q8+0.005,IF($E$3="FY20",Q8+0.01,IF($E$3="FY21",Q8+0.015,IF($E$3="FY22",Q8+0.02,IF($E$3="FY23",Q8+0.025,0)))))))</f>
        <v>0.377</v>
      </c>
      <c r="P25" s="85"/>
      <c r="Q25" s="84">
        <f>IF($E$3="FY17",Q8,IF($E$3="FY18",Q8+0.005,IF($E$3="FY19",Q8+0.01,IF($E$3="FY20",Q8+0.015,IF($E$3="FY21",Q8+0.02,IF($E$3="FY22",Q8+0.025,IF($E$3="FY23",Q8+0.03,0)))))))</f>
        <v>0.382</v>
      </c>
    </row>
    <row r="26" spans="2:17" ht="15.75">
      <c r="B26" s="240" t="s">
        <v>66</v>
      </c>
      <c r="C26" s="85"/>
      <c r="D26" s="85"/>
      <c r="E26" s="84">
        <f>IF($E$3="FY17",E9,IF($E$3="FY18",G9,IF($E$3="FY19",I9,IF($E$3="FY20",K9,IF($E$3="FY21",M9,IF($E$3="FY22",O9,IF($E$3="FY23",Q9,0)))))))</f>
        <v>0.418</v>
      </c>
      <c r="F26" s="85"/>
      <c r="G26" s="84">
        <f>IF($E$3="FY17",G9,IF($E$3="FY18",I9,IF($E$3="FY19",K9,IF($E$3="FY20",M9,IF($E$3="FY21",O9,IF($E$3="FY22",Q9,IF($E$3="FY23",Q9+0.01,0)))))))</f>
        <v>0.428</v>
      </c>
      <c r="H26" s="84"/>
      <c r="I26" s="84">
        <f>IF($E$3="FY17",I9,IF($E$3="FY18",K9,IF($E$3="FY19",M9,IF($E$3="FY20",N9,IF($E$3="FY21",O9,IF($E$3="FY22",Q9+0.01,IF($E$3="FY23",Q9+0.015,0)))))))</f>
        <v>0.433</v>
      </c>
      <c r="J26" s="85"/>
      <c r="K26" s="84">
        <f>IF($E$3="FY17",K9,IF($E$3="FY18",M9,IF($E$3="FY19",O9,IF($E$3="FY20",Q9,IF($E$3="FY21",Q9+0.005,IF($E$3="FY22",Q9+0.01,IF($E$3="FY23",Q9+0.015,0)))))))</f>
        <v>0.443</v>
      </c>
      <c r="L26" s="85"/>
      <c r="M26" s="84">
        <f>IF($E$3="FY17",M9,IF($E$3="FY18",O9,IF($E$3="FY19",Q9,IF($E$3="FY20",Q9+0.005,IF($E$3="FY21",Q9+0.01,IF($E$3="FY22",Q9+0.015,IF($E$3="FY23",Q9+0.02,0)))))))</f>
        <v>0.448</v>
      </c>
      <c r="N26" s="85"/>
      <c r="O26" s="84">
        <f>IF($E$3="FY17",O9,IF($E$3="FY18",Q9,IF($E$3="FY19",Q9+0.005,IF($E$3="FY20",Q9+0.01,IF($E$3="FY21",Q9+0.015,IF($E$3="FY22",Q9+0.02,IF($E$3="FY23",Q9+0.025,0)))))))</f>
        <v>0.548</v>
      </c>
      <c r="P26" s="85"/>
      <c r="Q26" s="84">
        <f>IF($E$3="FY17",Q9,IF($E$3="FY18",Q9+0.005,IF($E$3="FY19",Q9+0.01,IF($E$3="FY20",Q9+0.015,IF($E$3="FY21",Q9+0.02,IF($E$3="FY22",Q9+0.025,IF($E$3="FY23",Q9+0.03,0)))))))</f>
        <v>0.553</v>
      </c>
    </row>
    <row r="27" spans="2:17" ht="15.75">
      <c r="B27" s="240" t="s">
        <v>67</v>
      </c>
      <c r="C27" s="85"/>
      <c r="D27" s="85"/>
      <c r="E27" s="84">
        <f>IF($E$3="FY17",E10,IF($E$3="FY18",G10,IF($E$3="FY19",I10,IF($E$3="FY20",K10,IF($E$3="FY21",M10,IF($E$3="FY22",O10,IF($E$3="FY23",Q10,0)))))))</f>
        <v>0.074</v>
      </c>
      <c r="F27" s="85"/>
      <c r="G27" s="84">
        <f>IF($E$3="FY17",G10,IF($E$3="FY18",I10,IF($E$3="FY19",K10,IF($E$3="FY20",M10,IF($E$3="FY21",O10,IF($E$3="FY22",Q10,IF($E$3="FY23",Q10+0.01,0)))))))</f>
        <v>0.079</v>
      </c>
      <c r="H27" s="84"/>
      <c r="I27" s="84">
        <f>IF($E$3="FY17",I10,IF($E$3="FY18",K10,IF($E$3="FY19",M10,IF($E$3="FY20",N10,IF($E$3="FY21",O10,IF($E$3="FY22",Q10+0.01,IF($E$3="FY23",Q10+0.015,0)))))))</f>
        <v>0.079</v>
      </c>
      <c r="J27" s="85"/>
      <c r="K27" s="84">
        <f>IF($E$3="FY17",K10,IF($E$3="FY18",M10,IF($E$3="FY19",O10,IF($E$3="FY20",Q10,IF($E$3="FY21",Q10+0.005,IF($E$3="FY22",Q10+0.01,IF($E$3="FY23",Q10+0.015,0)))))))</f>
        <v>0.079</v>
      </c>
      <c r="L27" s="85"/>
      <c r="M27" s="84">
        <f>IF($E$3="FY17",M10,IF($E$3="FY18",O10,IF($E$3="FY19",Q10,IF($E$3="FY20",Q10+0.005,IF($E$3="FY21",Q10+0.01,IF($E$3="FY22",Q10+0.015,IF($E$3="FY23",Q10+0.02,0)))))))</f>
        <v>0.079</v>
      </c>
      <c r="N27" s="85"/>
      <c r="O27" s="84">
        <f>IF($E$3="FY17",O10,IF($E$3="FY18",Q10,IF($E$3="FY19",Q10+0.005,IF($E$3="FY20",Q10+0.01,IF($E$3="FY21",Q10+0.015,IF($E$3="FY22",Q10+0.02,IF($E$3="FY23",Q10+0.025,0)))))))</f>
        <v>0.079</v>
      </c>
      <c r="P27" s="85"/>
      <c r="Q27" s="84">
        <f>IF($E$3="FY17",Q10,IF($E$3="FY18",Q10+0.005,IF($E$3="FY19",Q10+0.01,IF($E$3="FY20",Q10+0.015,IF($E$3="FY21",Q10+0.02,IF($E$3="FY22",Q10+0.025,IF($E$3="FY23",Q10+0.03,0)))))))</f>
        <v>0.084</v>
      </c>
    </row>
    <row r="28" spans="2:17" ht="15.75">
      <c r="B28" s="240" t="s">
        <v>88</v>
      </c>
      <c r="C28" s="85"/>
      <c r="D28" s="85"/>
      <c r="E28" s="84">
        <f>IF($E$3="FY17",E11,IF($E$3="FY18",G11,IF($E$3="FY19",I11,IF($E$3="FY20",K11,IF($E$3="FY21",M11,IF($E$3="FY22",O11,IF($E$3="FY23",Q11,0)))))))</f>
        <v>0.234</v>
      </c>
      <c r="F28" s="85"/>
      <c r="G28" s="84">
        <f>IF($E$3="FY17",G11,IF($E$3="FY18",I11,IF($E$3="FY19",K11,IF($E$3="FY20",M11,IF($E$3="FY21",O11,IF($E$3="FY22",Q11,IF($E$3="FY23",Q11+0.01,0)))))))</f>
        <v>0.239</v>
      </c>
      <c r="H28" s="84"/>
      <c r="I28" s="84">
        <f>IF($E$3="FY17",I11,IF($E$3="FY18",K11,IF($E$3="FY19",M11,IF($E$3="FY20",N11,IF($E$3="FY21",O11,IF($E$3="FY22",Q11+0.01,IF($E$3="FY23",Q11+0.015,0)))))))</f>
        <v>0.244</v>
      </c>
      <c r="J28" s="85"/>
      <c r="K28" s="84">
        <f>IF($E$3="FY17",K11,IF($E$3="FY18",M11,IF($E$3="FY19",O11,IF($E$3="FY20",Q11,IF($E$3="FY21",Q11+0.005,IF($E$3="FY22",Q11+0.01,IF($E$3="FY23",Q11+0.015,0)))))))</f>
        <v>0.249</v>
      </c>
      <c r="L28" s="85"/>
      <c r="M28" s="84">
        <f>IF($E$3="FY17",M11,IF($E$3="FY18",O11,IF($E$3="FY19",Q11,IF($E$3="FY20",Q11+0.005,IF($E$3="FY21",Q11+0.01,IF($E$3="FY22",Q11+0.015,IF($E$3="FY23",Q11+0.02,0)))))))</f>
        <v>0.253</v>
      </c>
      <c r="N28" s="85"/>
      <c r="O28" s="84">
        <f>IF($E$3="FY17",O11,IF($E$3="FY18",Q11,IF($E$3="FY19",Q11+0.005,IF($E$3="FY20",Q11+0.01,IF($E$3="FY21",Q11+0.015,IF($E$3="FY22",Q11+0.02,IF($E$3="FY23",Q11+0.025,0)))))))</f>
        <v>0.259</v>
      </c>
      <c r="P28" s="85"/>
      <c r="Q28" s="84">
        <f>IF($E$3="FY17",Q11,IF($E$3="FY18",Q11+0.005,IF($E$3="FY19",Q11+0.01,IF($E$3="FY20",Q11+0.015,IF($E$3="FY21",Q11+0.02,IF($E$3="FY22",Q11+0.025,IF($E$3="FY23",Q11+0.03,0)))))))</f>
        <v>0.264</v>
      </c>
    </row>
    <row r="29" spans="2:17" ht="15.75">
      <c r="B29" s="224" t="s">
        <v>232</v>
      </c>
      <c r="C29" s="85"/>
      <c r="D29" s="85"/>
      <c r="E29" s="84">
        <f>IF($E$3="FY17",E14,IF($E$3="FY18",G14,IF($E$3="FY19",I14,IF($E$3="FY20",K14,IF($E$3="FY21",M14,IF($E$3="FY22",O14,IF($E$3="FY23",Q14,0)))))))</f>
        <v>0.595</v>
      </c>
      <c r="F29" s="85"/>
      <c r="G29" s="84">
        <f>IF($E$3="FY17",G14,IF($E$3="FY18",I14,IF($E$3="FY19",K14,IF($E$3="FY20",M14,IF($E$3="FY21",O14,IF($E$3="FY22",Q14,IF($E$3="FY23",Q14,0)))))))</f>
        <v>0.6</v>
      </c>
      <c r="H29" s="84"/>
      <c r="I29" s="84">
        <f>IF($E$3="FY17",I14,IF($E$3="FY18",K14,IF($E$3="FY19",M14,IF($E$3="FY20",O14,IF($E$3="FY21",Q14,IF($E$3="FY22",Q14,IF($E$3="FY23",Q14,0)))))))</f>
        <v>0.605</v>
      </c>
      <c r="J29" s="85"/>
      <c r="K29" s="84">
        <f>IF($E$3="FY17",K14,IF($E$3="FY18",M14,IF($E$3="FY19",O14,IF($E$3="FY20",Q14,IF($E$3="FY21",Q14,IF($E$3="FY22",Q14,IF($E$3="FY23",Q14,0)))))))</f>
        <v>0.605</v>
      </c>
      <c r="L29" s="85"/>
      <c r="M29" s="84">
        <f>IF($E$3="FY17",M14,IF($E$3="FY18",O14,IF($E$3="FY19",Q14,IF($E$3="FY20",Q14,IF($E$3="FY21",Q14,IF($E$3="FY22",Q14,IF($E$3="FY23",Q14,0)))))))</f>
        <v>0.605</v>
      </c>
      <c r="N29" s="85"/>
      <c r="O29" s="84">
        <f>IF($E$3="FY17",O14,IF($E$3="FY18",Q14,IF($E$3="FY19",Q14,IF($E$3="FY20",Q14,IF($E$3="FY21",Q14,IF($E$3="FY22",Q14,IF($E$3="FY23",Q14,0)))))))</f>
        <v>0.605</v>
      </c>
      <c r="P29" s="85"/>
      <c r="Q29" s="84">
        <f>IF($E$3="FY17",O14,IF($E$3="FY18",O14,IF($E$3="FY19",O14,IF($E$3="FY20",O14,IF($E$3="FY21",O14,IF($E$3="FY22",O14,IF($E$3="FY23",O14,0)))))))</f>
        <v>0.605</v>
      </c>
    </row>
    <row r="30" spans="2:17" ht="15.75">
      <c r="B30" s="224" t="s">
        <v>233</v>
      </c>
      <c r="C30" s="85"/>
      <c r="D30" s="85"/>
      <c r="E30" s="84">
        <f>IF($E$3="FY17",E15,IF($E$3="FY18",G15,IF($E$3="FY19",I15,IF($E$3="FY20",K15,IF($E$3="FY21",M15,IF($E$3="FY22",O15,IF($E$3="FY23",Q15,0)))))))</f>
        <v>0.57</v>
      </c>
      <c r="F30" s="85"/>
      <c r="G30" s="84">
        <f>IF($E$3="FY17",G15,IF($E$3="FY18",I15,IF($E$3="FY19",K15,IF($E$3="FY20",M15,IF($E$3="FY21",O15,IF($E$3="FY22",Q15,IF($E$3="FY23",Q15,0)))))))</f>
        <v>0.57</v>
      </c>
      <c r="H30" s="84"/>
      <c r="I30" s="84">
        <f>IF($E$3="FY17",I15,IF($E$3="FY18",K15,IF($E$3="FY19",M15,IF($E$3="FY20",O15,IF($E$3="FY21",Q15,IF($E$3="FY22",Q15,IF($E$3="FY23",Q15,0)))))))</f>
        <v>0.57</v>
      </c>
      <c r="J30" s="85"/>
      <c r="K30" s="84">
        <f>IF($E$3="FY17",K15,IF($E$3="FY18",M15,IF($E$3="FY19",O15,IF($E$3="FY20",Q15,IF($E$3="FY21",Q15,IF($E$3="FY22",Q15,IF($E$3="FY23",Q15,0)))))))</f>
        <v>0.57</v>
      </c>
      <c r="L30" s="85"/>
      <c r="M30" s="84">
        <f>IF($E$3="FY17",M15,IF($E$3="FY18",O15,IF($E$3="FY19",Q15,IF($E$3="FY20",Q15,IF($E$3="FY21",Q15,IF($E$3="FY22",Q15,IF($E$3="FY23",Q15,0)))))))</f>
        <v>0.57</v>
      </c>
      <c r="N30" s="85"/>
      <c r="O30" s="84">
        <f>IF($E$3="FY17",O15,IF($E$3="FY18",Q15,IF($E$3="FY19",Q15,IF($E$3="FY20",Q15,IF($E$3="FY21",Q15,IF($E$3="FY22",Q15,IF($E$3="FY23",Q15,0)))))))</f>
        <v>0.57</v>
      </c>
      <c r="P30" s="85"/>
      <c r="Q30" s="84">
        <f>IF($E$3="FY17",O15,IF($E$3="FY18",O15,IF($E$3="FY19",O15,IF($E$3="FY20",O15,IF($E$3="FY21",O15,IF($E$3="FY22",O15,IF($E$3="FY23",O15,0)))))))</f>
        <v>0.57</v>
      </c>
    </row>
    <row r="31" spans="2:17" ht="15.75">
      <c r="B31" s="224" t="s">
        <v>234</v>
      </c>
      <c r="C31" s="85"/>
      <c r="D31" s="85"/>
      <c r="E31" s="84">
        <f>IF($E$3="FY17",E16,IF($E$3="FY18",G16,IF($E$3="FY19",I16,IF($E$3="FY20",K16,IF($E$3="FY21",M16,IF($E$3="FY22",O16,IF($E$3="FY23",Q16,0)))))))</f>
        <v>0.3</v>
      </c>
      <c r="F31" s="85"/>
      <c r="G31" s="84">
        <f>IF($E$3="FY17",G16,IF($E$3="FY18",I16,IF($E$3="FY19",K16,IF($E$3="FY20",M16,IF($E$3="FY21",O16,IF($E$3="FY22",Q16,IF($E$3="FY23",Q16,0)))))))</f>
        <v>0.3</v>
      </c>
      <c r="H31" s="84"/>
      <c r="I31" s="84">
        <f>IF($E$3="FY17",I16,IF($E$3="FY18",K16,IF($E$3="FY19",M16,IF($E$3="FY20",O16,IF($E$3="FY21",Q16,IF($E$3="FY22",Q16,IF($E$3="FY23",Q16,0)))))))</f>
        <v>0.3</v>
      </c>
      <c r="J31" s="85"/>
      <c r="K31" s="84">
        <f>IF($E$3="FY17",K16,IF($E$3="FY18",M16,IF($E$3="FY19",O16,IF($E$3="FY20",Q16,IF($E$3="FY21",Q16,IF($E$3="FY22",Q16,IF($E$3="FY23",Q16,0)))))))</f>
        <v>0.3</v>
      </c>
      <c r="L31" s="85"/>
      <c r="M31" s="84">
        <f>IF($E$3="FY17",M16,IF($E$3="FY18",O16,IF($E$3="FY19",Q16,IF($E$3="FY20",Q16,IF($E$3="FY21",Q16,IF($E$3="FY22",Q16,IF($E$3="FY23",Q16,0)))))))</f>
        <v>0.3</v>
      </c>
      <c r="N31" s="85"/>
      <c r="O31" s="84">
        <f>IF($E$3="FY17",O16,IF($E$3="FY18",Q16,IF($E$3="FY19",Q16,IF($E$3="FY20",Q16,IF($E$3="FY21",Q16,IF($E$3="FY22",Q16,IF($E$3="FY23",Q16,0)))))))</f>
        <v>0.3</v>
      </c>
      <c r="P31" s="85"/>
      <c r="Q31" s="84">
        <f>IF($E$3="FY17",O16,IF($E$3="FY18",O16,IF($E$3="FY19",O16,IF($E$3="FY20",O16,IF($E$3="FY21",O16,IF($E$3="FY22",O16,IF($E$3="FY23",O16,0)))))))</f>
        <v>0.3</v>
      </c>
    </row>
    <row r="32" spans="2:17" ht="15.75">
      <c r="B32" s="82" t="s">
        <v>1</v>
      </c>
      <c r="Q32" s="283"/>
    </row>
    <row r="33" spans="2:5" ht="15.75">
      <c r="B33" s="219" t="s">
        <v>68</v>
      </c>
      <c r="E33" s="153"/>
    </row>
    <row r="34" spans="3:13" ht="15.75">
      <c r="C34" s="82" t="s">
        <v>1</v>
      </c>
      <c r="D34" s="82" t="s">
        <v>1</v>
      </c>
      <c r="J34" s="235"/>
      <c r="K34" s="235"/>
      <c r="M34" s="235"/>
    </row>
    <row r="35" spans="2:17" ht="15.75">
      <c r="B35" s="219" t="s">
        <v>64</v>
      </c>
      <c r="C35" s="241" t="s">
        <v>69</v>
      </c>
      <c r="D35" s="241"/>
      <c r="E35" s="236" t="s">
        <v>7</v>
      </c>
      <c r="F35" s="242"/>
      <c r="G35" s="236" t="s">
        <v>54</v>
      </c>
      <c r="H35" s="242"/>
      <c r="I35" s="236" t="s">
        <v>56</v>
      </c>
      <c r="K35" s="236" t="s">
        <v>58</v>
      </c>
      <c r="M35" s="236" t="s">
        <v>60</v>
      </c>
      <c r="O35" s="236" t="s">
        <v>70</v>
      </c>
      <c r="Q35" s="236" t="s">
        <v>71</v>
      </c>
    </row>
    <row r="36" spans="2:17" ht="15.75">
      <c r="B36" s="82" t="s">
        <v>23</v>
      </c>
      <c r="C36" s="86">
        <f>IF(MONTH($E$2)&lt;MONTH(E4),ABS((MONTH($E$2)-MONTH(E4))),12-(MONTH($E$2)-MONTH(E4)))</f>
        <v>12</v>
      </c>
      <c r="D36" s="86">
        <f>12-C36</f>
        <v>0</v>
      </c>
      <c r="E36" s="83">
        <f>((E24*C36)+(G24*D36))/12</f>
        <v>0.282</v>
      </c>
      <c r="F36" s="83"/>
      <c r="G36" s="83">
        <f>((G24*C36)+(I24*D36))/12</f>
        <v>0.292</v>
      </c>
      <c r="H36" s="83"/>
      <c r="I36" s="83">
        <f>((I24*C36)+(K24*D36))/12</f>
        <v>0.297</v>
      </c>
      <c r="J36" s="83"/>
      <c r="K36" s="83">
        <f>((K24*C36)+(M24*D36))/12</f>
        <v>0.307</v>
      </c>
      <c r="M36" s="83">
        <f>((M24*C36)+(O24*D36))/12</f>
        <v>0.312</v>
      </c>
      <c r="O36" s="83">
        <f>((O24*C36)+(Q24*D36))/12</f>
        <v>0.322</v>
      </c>
      <c r="Q36" s="83">
        <f>O36+0.005</f>
        <v>0.327</v>
      </c>
    </row>
    <row r="37" spans="2:17" ht="15.75">
      <c r="B37" s="82" t="s">
        <v>89</v>
      </c>
      <c r="C37" s="86">
        <f>$C$36</f>
        <v>12</v>
      </c>
      <c r="D37" s="86">
        <f>12-C37</f>
        <v>0</v>
      </c>
      <c r="E37" s="83">
        <f>((E25*C37)+(G25*D37))/12</f>
        <v>0.337</v>
      </c>
      <c r="F37" s="83"/>
      <c r="G37" s="83">
        <f>((G25*C37)+(I25*D37))/12</f>
        <v>0.347</v>
      </c>
      <c r="H37" s="83"/>
      <c r="I37" s="83">
        <f>((I25*C37)+(K25*D37))/12</f>
        <v>0.35200000000000004</v>
      </c>
      <c r="J37" s="83"/>
      <c r="K37" s="83">
        <f>((K25*C37)+(M25*D37))/12</f>
        <v>0.36199999999999993</v>
      </c>
      <c r="M37" s="83">
        <f>((M25*C37)+(O25*D37))/12</f>
        <v>0.367</v>
      </c>
      <c r="O37" s="83">
        <f>((O25*C37)+(Q25*D37))/12</f>
        <v>0.377</v>
      </c>
      <c r="Q37" s="83">
        <f>O37+0.005</f>
        <v>0.382</v>
      </c>
    </row>
    <row r="38" spans="2:17" ht="15.75">
      <c r="B38" s="82" t="s">
        <v>66</v>
      </c>
      <c r="C38" s="86">
        <f>$C$36</f>
        <v>12</v>
      </c>
      <c r="D38" s="86">
        <f>12-C38</f>
        <v>0</v>
      </c>
      <c r="E38" s="83">
        <f>((E26*C38)+(G26*D38))/12</f>
        <v>0.418</v>
      </c>
      <c r="F38" s="83"/>
      <c r="G38" s="83">
        <f>((G26*C38)+(I26*D38))/12</f>
        <v>0.428</v>
      </c>
      <c r="H38" s="83"/>
      <c r="I38" s="83">
        <f>((I26*C38)+(K26*D38))/12</f>
        <v>0.433</v>
      </c>
      <c r="J38" s="83"/>
      <c r="K38" s="83">
        <f>((K26*C38)+(M26*D38))/12</f>
        <v>0.443</v>
      </c>
      <c r="M38" s="83">
        <f>((M26*C38)+(O26*D38))/12</f>
        <v>0.448</v>
      </c>
      <c r="O38" s="83">
        <f>((O26*C38)+(Q26*D38))/12</f>
        <v>0.548</v>
      </c>
      <c r="Q38" s="83">
        <f>O38+0.005</f>
        <v>0.553</v>
      </c>
    </row>
    <row r="39" spans="2:17" ht="15.75">
      <c r="B39" s="82" t="s">
        <v>67</v>
      </c>
      <c r="C39" s="86">
        <f>$C$36</f>
        <v>12</v>
      </c>
      <c r="D39" s="86">
        <f>12-C39</f>
        <v>0</v>
      </c>
      <c r="E39" s="83">
        <f>((E27*C39)+(G27*D39))/12</f>
        <v>0.074</v>
      </c>
      <c r="F39" s="83"/>
      <c r="G39" s="83">
        <f>((G27*C39)+(I27*D39))/12</f>
        <v>0.079</v>
      </c>
      <c r="H39" s="83"/>
      <c r="I39" s="83">
        <f>((I27*C39)+(K27*D39))/12</f>
        <v>0.079</v>
      </c>
      <c r="J39" s="83"/>
      <c r="K39" s="83">
        <f>((K27*C39)+(M27*D39))/12</f>
        <v>0.079</v>
      </c>
      <c r="M39" s="83">
        <f>((M27*C39)+(O27*D39))/12</f>
        <v>0.079</v>
      </c>
      <c r="O39" s="83">
        <f>((O27*C39)+(Q27*D39))/12</f>
        <v>0.079</v>
      </c>
      <c r="Q39" s="83">
        <f>O39+0.005</f>
        <v>0.084</v>
      </c>
    </row>
    <row r="40" spans="2:17" ht="15.75">
      <c r="B40" s="82" t="s">
        <v>92</v>
      </c>
      <c r="C40" s="86">
        <f>$C$36</f>
        <v>12</v>
      </c>
      <c r="D40" s="86">
        <f>12-C40</f>
        <v>0</v>
      </c>
      <c r="E40" s="83">
        <f>((E28*C40)+(G28*D40))/12</f>
        <v>0.234</v>
      </c>
      <c r="F40" s="83"/>
      <c r="G40" s="83">
        <f>((G28*C40)+(I28*D40))/12</f>
        <v>0.239</v>
      </c>
      <c r="H40" s="83"/>
      <c r="I40" s="83">
        <f>((I28*C40)+(K28*D40))/12</f>
        <v>0.244</v>
      </c>
      <c r="J40" s="83"/>
      <c r="K40" s="83">
        <f>((K28*C40)+(M28*D40))/12</f>
        <v>0.249</v>
      </c>
      <c r="M40" s="83">
        <f>((M28*C40)+(O28*D40))/12</f>
        <v>0.253</v>
      </c>
      <c r="O40" s="83">
        <f>((O28*C40)+(Q28*D40))/12</f>
        <v>0.259</v>
      </c>
      <c r="Q40" s="83">
        <f>O40+0.005</f>
        <v>0.264</v>
      </c>
    </row>
    <row r="41" spans="10:17" ht="15.75">
      <c r="J41" s="83"/>
      <c r="Q41" s="87" t="s">
        <v>1</v>
      </c>
    </row>
    <row r="42" spans="2:22" ht="15.75">
      <c r="B42" s="219" t="s">
        <v>227</v>
      </c>
      <c r="C42" s="216"/>
      <c r="D42" s="216"/>
      <c r="E42" s="216"/>
      <c r="F42" s="216"/>
      <c r="G42" s="216"/>
      <c r="H42" s="216"/>
      <c r="I42" s="216"/>
      <c r="J42" s="216"/>
      <c r="K42" s="216"/>
      <c r="L42" s="216"/>
      <c r="M42" s="216"/>
      <c r="N42" s="216"/>
      <c r="O42" s="216"/>
      <c r="P42" s="216"/>
      <c r="Q42" s="220" t="s">
        <v>1</v>
      </c>
      <c r="R42" s="216"/>
      <c r="S42" s="216"/>
      <c r="T42" s="216"/>
      <c r="U42" s="216"/>
      <c r="V42" s="216"/>
    </row>
    <row r="43" spans="2:22" ht="15.75">
      <c r="B43" s="221" t="s">
        <v>228</v>
      </c>
      <c r="C43" s="222">
        <f>$C$36</f>
        <v>12</v>
      </c>
      <c r="D43" s="222">
        <f>12-C43</f>
        <v>0</v>
      </c>
      <c r="E43" s="223">
        <f>((E29*C43)+(G29*D43))/12</f>
        <v>0.595</v>
      </c>
      <c r="F43" s="223"/>
      <c r="G43" s="223">
        <f>((G29*C43)+(I29*D43))/12</f>
        <v>0.6</v>
      </c>
      <c r="H43" s="223"/>
      <c r="I43" s="223">
        <f>((I29*C43)+(K29*D43))/12</f>
        <v>0.605</v>
      </c>
      <c r="J43" s="216"/>
      <c r="K43" s="223">
        <f>((K29*C43)+(M29*D43))/12</f>
        <v>0.605</v>
      </c>
      <c r="L43" s="216"/>
      <c r="M43" s="223">
        <f>((M29*C43)+(O29*D43))/12</f>
        <v>0.605</v>
      </c>
      <c r="N43" s="216"/>
      <c r="O43" s="223">
        <f>((O29*C43)+(Q29*D43))/12</f>
        <v>0.605</v>
      </c>
      <c r="P43" s="216"/>
      <c r="Q43" s="223">
        <f>+O43</f>
        <v>0.605</v>
      </c>
      <c r="R43" s="216"/>
      <c r="S43" s="216"/>
      <c r="T43" s="216"/>
      <c r="U43" s="216"/>
      <c r="V43" s="216"/>
    </row>
    <row r="44" spans="2:22" ht="15.75">
      <c r="B44" s="221" t="s">
        <v>229</v>
      </c>
      <c r="C44" s="222">
        <f>$C$36</f>
        <v>12</v>
      </c>
      <c r="D44" s="222">
        <f>12-C44</f>
        <v>0</v>
      </c>
      <c r="E44" s="223">
        <f>((E30*C44)+(G30*D44))/12</f>
        <v>0.57</v>
      </c>
      <c r="F44" s="223"/>
      <c r="G44" s="223">
        <f>((G30*C44)+(I30*D44))/12</f>
        <v>0.57</v>
      </c>
      <c r="H44" s="223"/>
      <c r="I44" s="223">
        <f>((I30*C44)+(K30*D44))/12</f>
        <v>0.57</v>
      </c>
      <c r="J44" s="216"/>
      <c r="K44" s="223">
        <f>((K30*C44)+(M30*D44))/12</f>
        <v>0.57</v>
      </c>
      <c r="L44" s="216"/>
      <c r="M44" s="223">
        <f>((M30*C44)+(O30*D44))/12</f>
        <v>0.57</v>
      </c>
      <c r="N44" s="216"/>
      <c r="O44" s="223">
        <f>((O30*C44)+(Q30*D44))/12</f>
        <v>0.57</v>
      </c>
      <c r="P44" s="216"/>
      <c r="Q44" s="223">
        <f>+O44</f>
        <v>0.57</v>
      </c>
      <c r="R44" s="216"/>
      <c r="S44" s="216"/>
      <c r="T44" s="216"/>
      <c r="U44" s="216"/>
      <c r="V44" s="216"/>
    </row>
    <row r="45" spans="2:22" ht="15.75">
      <c r="B45" s="221" t="s">
        <v>230</v>
      </c>
      <c r="C45" s="222">
        <f>$C$36</f>
        <v>12</v>
      </c>
      <c r="D45" s="222">
        <f>12-C45</f>
        <v>0</v>
      </c>
      <c r="E45" s="223">
        <f>((E31*C45)+(G31*D45))/12</f>
        <v>0.3</v>
      </c>
      <c r="F45" s="223"/>
      <c r="G45" s="223">
        <f>((G31*C45)+(I31*D45))/12</f>
        <v>0.3</v>
      </c>
      <c r="H45" s="223"/>
      <c r="I45" s="223">
        <f>((I31*C45)+(K31*D45))/12</f>
        <v>0.3</v>
      </c>
      <c r="J45" s="216"/>
      <c r="K45" s="223">
        <f>((K31*C45)+(M31*D45))/12</f>
        <v>0.3</v>
      </c>
      <c r="L45" s="216"/>
      <c r="M45" s="223">
        <f>((M31*C45)+(O31*D45))/12</f>
        <v>0.3</v>
      </c>
      <c r="N45" s="216"/>
      <c r="O45" s="223">
        <f>((O31*C45)+(Q31*D45))/12</f>
        <v>0.3</v>
      </c>
      <c r="P45" s="216"/>
      <c r="Q45" s="223">
        <f>+O45</f>
        <v>0.3</v>
      </c>
      <c r="R45" s="216"/>
      <c r="S45" s="216"/>
      <c r="T45" s="216"/>
      <c r="U45" s="216"/>
      <c r="V45" s="216"/>
    </row>
    <row r="46" spans="11:17" ht="15.75">
      <c r="K46" s="87" t="s">
        <v>1</v>
      </c>
      <c r="M46" s="87" t="s">
        <v>1</v>
      </c>
      <c r="O46" s="87" t="s">
        <v>1</v>
      </c>
      <c r="Q46" s="87" t="s">
        <v>1</v>
      </c>
    </row>
    <row r="47" spans="2:17" ht="15.75">
      <c r="B47" s="219" t="s">
        <v>231</v>
      </c>
      <c r="K47" s="87" t="s">
        <v>1</v>
      </c>
      <c r="M47" s="87" t="s">
        <v>1</v>
      </c>
      <c r="O47" s="87" t="s">
        <v>1</v>
      </c>
      <c r="Q47" s="87" t="s">
        <v>1</v>
      </c>
    </row>
    <row r="48" spans="2:17" ht="15.75">
      <c r="B48" s="82" t="s">
        <v>228</v>
      </c>
      <c r="C48" s="86">
        <f>$C$36</f>
        <v>12</v>
      </c>
      <c r="D48" s="86">
        <f>12-C48</f>
        <v>0</v>
      </c>
      <c r="E48" s="83">
        <f>IF($E$3="FY12",E19,IF($E$3="FY13",G19,IF($E$3="FY14",I19,IF($E$3="FY15",K19,IF($E$3="FY16",M19,IF($E$3="FY17",O19,IF($E$3="FY18",Q19,0)))))))</f>
        <v>0.26</v>
      </c>
      <c r="F48" s="83"/>
      <c r="G48" s="83">
        <f>((G19*C48)+(I19*D48))/12</f>
        <v>0.26</v>
      </c>
      <c r="H48" s="83"/>
      <c r="I48" s="83">
        <f>((I19*C48)+(K19*D48))/12</f>
        <v>0.26</v>
      </c>
      <c r="K48" s="83">
        <f>((K19*C48)+(M19*D48))/12</f>
        <v>0.26</v>
      </c>
      <c r="M48" s="83">
        <f>((M19*C48)+(O19*D48))/12</f>
        <v>0.26</v>
      </c>
      <c r="O48" s="83">
        <f>((O19*C48)+(Q19*D48))/12</f>
        <v>0.26</v>
      </c>
      <c r="Q48" s="83">
        <f>Q19</f>
        <v>0.26</v>
      </c>
    </row>
    <row r="49" spans="2:17" ht="15.75">
      <c r="B49" s="82" t="s">
        <v>229</v>
      </c>
      <c r="C49" s="86">
        <f>$C$36</f>
        <v>12</v>
      </c>
      <c r="D49" s="86">
        <f>12-C49</f>
        <v>0</v>
      </c>
      <c r="E49" s="83">
        <f>IF($E$3="FY12",E20,IF($E$3="FY13",G20,IF($E$3="FY14",I20,IF($E$3="FY15",K20,IF($E$3="FY16",M20,IF($E$3="FY17",O20,IF($E$3="FY18",Q20,0)))))))</f>
        <v>0.26</v>
      </c>
      <c r="F49" s="83"/>
      <c r="G49" s="83">
        <f>((G20*C49)+(I20*D49))/12</f>
        <v>0.26</v>
      </c>
      <c r="H49" s="83"/>
      <c r="I49" s="83">
        <f>((I20*C49)+(K20*D49))/12</f>
        <v>0.26</v>
      </c>
      <c r="K49" s="83">
        <f>((K20*C49)+(M20*D49))/12</f>
        <v>0.26</v>
      </c>
      <c r="M49" s="83">
        <f>((M20*C49)+(O20*D49))/12</f>
        <v>0.26</v>
      </c>
      <c r="O49" s="83">
        <f>((O20*C49)+(Q20*D49))/12</f>
        <v>0.26</v>
      </c>
      <c r="Q49" s="83">
        <f>Q20</f>
        <v>0.26</v>
      </c>
    </row>
    <row r="50" spans="2:17" ht="15.75">
      <c r="B50" s="82" t="s">
        <v>230</v>
      </c>
      <c r="C50" s="86">
        <f>$C$36</f>
        <v>12</v>
      </c>
      <c r="D50" s="86">
        <f>12-C50</f>
        <v>0</v>
      </c>
      <c r="E50" s="83">
        <f>IF($E$3="FY12",E21,IF($E$3="FY13",G21,IF($E$3="FY14",I21,IF($E$3="FY15",K21,IF($E$3="FY16",M21,IF($E$3="FY17",O21,IF($E$3="FY18",Q21,0)))))))</f>
        <v>0.26</v>
      </c>
      <c r="F50" s="83"/>
      <c r="G50" s="83">
        <f>((G21*C50)+(I21*D50))/12</f>
        <v>0.26</v>
      </c>
      <c r="H50" s="83"/>
      <c r="I50" s="83">
        <f>((I21*C50)+(K21*D50))/12</f>
        <v>0.26</v>
      </c>
      <c r="K50" s="83">
        <f>((K21*C50)+(M21*D50))/12</f>
        <v>0.26</v>
      </c>
      <c r="M50" s="83">
        <f>((M21*C50)+(O21*D50))/12</f>
        <v>0.26</v>
      </c>
      <c r="O50" s="83">
        <f>((O21*C50)+(Q21*D50))/12</f>
        <v>0.26</v>
      </c>
      <c r="Q50" s="83">
        <f>Q21</f>
        <v>0.26</v>
      </c>
    </row>
    <row r="60" ht="18.75">
      <c r="N60" s="244" t="s">
        <v>274</v>
      </c>
    </row>
  </sheetData>
  <sheetProtection/>
  <dataValidations count="1">
    <dataValidation type="list" allowBlank="1" showInputMessage="1" showErrorMessage="1" sqref="E3">
      <formula1>$U$4:$U$8</formula1>
    </dataValidation>
  </dataValidations>
  <printOptions/>
  <pageMargins left="0.5" right="0.3" top="1" bottom="0.667" header="0.5" footer="0.5"/>
  <pageSetup fitToHeight="1" fitToWidth="1" horizontalDpi="300" verticalDpi="300" orientation="portrait" scale="53" r:id="rId1"/>
</worksheet>
</file>

<file path=xl/worksheets/sheet8.xml><?xml version="1.0" encoding="utf-8"?>
<worksheet xmlns="http://schemas.openxmlformats.org/spreadsheetml/2006/main" xmlns:r="http://schemas.openxmlformats.org/officeDocument/2006/relationships">
  <dimension ref="A1:I36"/>
  <sheetViews>
    <sheetView workbookViewId="0" topLeftCell="A1">
      <pane ySplit="2" topLeftCell="A3" activePane="bottomLeft" state="frozen"/>
      <selection pane="topLeft" activeCell="A1" sqref="A1"/>
      <selection pane="bottomLeft" activeCell="A1" sqref="A1"/>
    </sheetView>
  </sheetViews>
  <sheetFormatPr defaultColWidth="9.00390625" defaultRowHeight="15.75"/>
  <cols>
    <col min="2" max="2" width="13.875" style="0" customWidth="1"/>
    <col min="4" max="4" width="10.50390625" style="0" bestFit="1" customWidth="1"/>
    <col min="6" max="6" width="35.375" style="0" customWidth="1"/>
    <col min="7" max="7" width="11.375" style="0" customWidth="1"/>
    <col min="8" max="8" width="13.50390625" style="0" customWidth="1"/>
    <col min="9" max="9" width="11.50390625" style="0" customWidth="1"/>
  </cols>
  <sheetData>
    <row r="1" spans="1:9" ht="48" customHeight="1">
      <c r="A1" s="254"/>
      <c r="B1" s="254"/>
      <c r="C1" s="254"/>
      <c r="D1" s="254"/>
      <c r="E1" s="255" t="s">
        <v>136</v>
      </c>
      <c r="F1" s="256"/>
      <c r="G1" s="257" t="s">
        <v>137</v>
      </c>
      <c r="H1" s="257" t="s">
        <v>138</v>
      </c>
      <c r="I1" s="257" t="s">
        <v>245</v>
      </c>
    </row>
    <row r="2" spans="1:9" ht="15.75">
      <c r="A2" s="275" t="s">
        <v>261</v>
      </c>
      <c r="B2" s="254"/>
      <c r="C2" s="254"/>
      <c r="D2" s="254"/>
      <c r="E2" s="256"/>
      <c r="F2" s="254"/>
      <c r="G2" s="258"/>
      <c r="H2" s="254"/>
      <c r="I2" s="253"/>
    </row>
    <row r="3" spans="1:9" ht="15.75" customHeight="1" hidden="1">
      <c r="A3" s="254"/>
      <c r="B3" s="254"/>
      <c r="C3" s="254"/>
      <c r="D3" s="254"/>
      <c r="E3" s="259" t="s">
        <v>139</v>
      </c>
      <c r="F3" s="259"/>
      <c r="G3" s="260">
        <v>125900</v>
      </c>
      <c r="H3" s="260">
        <v>77476.92307692302</v>
      </c>
      <c r="I3" s="260">
        <v>33896.15384615382</v>
      </c>
    </row>
    <row r="4" spans="1:9" ht="15.75" customHeight="1" hidden="1">
      <c r="A4" s="261" t="s">
        <v>140</v>
      </c>
      <c r="B4" s="262"/>
      <c r="C4" s="263">
        <v>62.6</v>
      </c>
      <c r="D4" s="263"/>
      <c r="E4" s="259" t="s">
        <v>141</v>
      </c>
      <c r="F4" s="259"/>
      <c r="G4" s="260">
        <v>130200</v>
      </c>
      <c r="H4" s="260">
        <v>80123.07692307686</v>
      </c>
      <c r="I4" s="260">
        <v>35053.84615384613</v>
      </c>
    </row>
    <row r="5" spans="1:9" ht="15.75" customHeight="1" hidden="1">
      <c r="A5" s="254"/>
      <c r="B5" s="254"/>
      <c r="C5" s="254"/>
      <c r="D5" s="254"/>
      <c r="E5" s="259"/>
      <c r="F5" s="259"/>
      <c r="G5" s="260"/>
      <c r="H5" s="260"/>
      <c r="I5" s="260"/>
    </row>
    <row r="6" spans="1:9" ht="15.75" customHeight="1" hidden="1">
      <c r="A6" s="254"/>
      <c r="B6" s="254"/>
      <c r="C6" s="254"/>
      <c r="D6" s="254"/>
      <c r="E6" s="256" t="s">
        <v>142</v>
      </c>
      <c r="F6" s="259"/>
      <c r="G6" s="260"/>
      <c r="H6" s="260"/>
      <c r="I6" s="260"/>
    </row>
    <row r="7" spans="1:9" ht="15.75" customHeight="1" hidden="1">
      <c r="A7" s="261" t="s">
        <v>143</v>
      </c>
      <c r="B7" s="262"/>
      <c r="C7" s="263">
        <v>65.72</v>
      </c>
      <c r="D7" s="263"/>
      <c r="E7" s="259" t="s">
        <v>144</v>
      </c>
      <c r="F7" s="259"/>
      <c r="G7" s="260">
        <v>136700</v>
      </c>
      <c r="H7" s="260">
        <v>84123.07692307686</v>
      </c>
      <c r="I7" s="260">
        <v>36803.84615384613</v>
      </c>
    </row>
    <row r="8" spans="1:9" ht="15.75" customHeight="1" hidden="1">
      <c r="A8" s="261" t="s">
        <v>145</v>
      </c>
      <c r="B8" s="262"/>
      <c r="C8" s="263">
        <v>67.93</v>
      </c>
      <c r="D8" s="263"/>
      <c r="E8" s="259" t="s">
        <v>141</v>
      </c>
      <c r="F8" s="259"/>
      <c r="G8" s="260">
        <v>141300</v>
      </c>
      <c r="H8" s="260">
        <v>86953.8461538461</v>
      </c>
      <c r="I8" s="260">
        <v>38042.307692307666</v>
      </c>
    </row>
    <row r="9" spans="1:9" ht="15.75" customHeight="1" hidden="1">
      <c r="A9" s="261" t="s">
        <v>146</v>
      </c>
      <c r="B9" s="262"/>
      <c r="C9" s="321">
        <v>69.76</v>
      </c>
      <c r="D9" s="321"/>
      <c r="E9" s="259"/>
      <c r="F9" s="264"/>
      <c r="G9" s="265"/>
      <c r="H9" s="260"/>
      <c r="I9" s="260"/>
    </row>
    <row r="10" spans="1:9" ht="15.75" customHeight="1" hidden="1">
      <c r="A10" s="266"/>
      <c r="B10" s="266"/>
      <c r="C10" s="266"/>
      <c r="D10" s="266"/>
      <c r="E10" s="256" t="s">
        <v>147</v>
      </c>
      <c r="F10" s="276"/>
      <c r="G10" s="277"/>
      <c r="H10" s="260"/>
      <c r="I10" s="260"/>
    </row>
    <row r="11" spans="1:9" ht="15.75" customHeight="1" hidden="1">
      <c r="A11" s="261" t="s">
        <v>148</v>
      </c>
      <c r="B11" s="262"/>
      <c r="C11" s="263">
        <v>75.48</v>
      </c>
      <c r="D11" s="263"/>
      <c r="E11" s="259" t="s">
        <v>149</v>
      </c>
      <c r="F11" s="259"/>
      <c r="G11" s="260">
        <v>157000</v>
      </c>
      <c r="H11" s="260">
        <v>96615.38461538455</v>
      </c>
      <c r="I11" s="260">
        <v>42269.230769230744</v>
      </c>
    </row>
    <row r="12" spans="1:9" ht="15.75" customHeight="1" hidden="1">
      <c r="A12" s="261" t="s">
        <v>150</v>
      </c>
      <c r="B12" s="262"/>
      <c r="C12" s="263">
        <v>77.5</v>
      </c>
      <c r="D12" s="263"/>
      <c r="E12" s="259" t="s">
        <v>151</v>
      </c>
      <c r="F12" s="259"/>
      <c r="G12" s="260">
        <v>161200</v>
      </c>
      <c r="H12" s="260">
        <v>99199.99999999993</v>
      </c>
      <c r="I12" s="260">
        <v>43399.99999999997</v>
      </c>
    </row>
    <row r="13" spans="1:9" ht="15.75" customHeight="1" hidden="1">
      <c r="A13" s="261" t="s">
        <v>152</v>
      </c>
      <c r="B13" s="262"/>
      <c r="C13" s="263">
        <v>80.14</v>
      </c>
      <c r="D13" s="263"/>
      <c r="E13" s="259" t="s">
        <v>153</v>
      </c>
      <c r="F13" s="267"/>
      <c r="G13" s="260">
        <v>166700</v>
      </c>
      <c r="H13" s="260">
        <v>102584.61538461532</v>
      </c>
      <c r="I13" s="260">
        <v>44880.769230769205</v>
      </c>
    </row>
    <row r="14" spans="1:9" ht="15.75" customHeight="1" hidden="1">
      <c r="A14" s="261" t="s">
        <v>154</v>
      </c>
      <c r="B14" s="262"/>
      <c r="C14" s="263">
        <v>82.64</v>
      </c>
      <c r="D14" s="263"/>
      <c r="E14" s="259" t="s">
        <v>155</v>
      </c>
      <c r="F14" s="267"/>
      <c r="G14" s="260">
        <v>171900</v>
      </c>
      <c r="H14" s="260">
        <v>105784.61538461532</v>
      </c>
      <c r="I14" s="260">
        <v>46280.769230769205</v>
      </c>
    </row>
    <row r="15" spans="1:9" ht="15.75" customHeight="1" hidden="1">
      <c r="A15" s="261" t="s">
        <v>156</v>
      </c>
      <c r="B15" s="262"/>
      <c r="C15" s="263">
        <v>83.89</v>
      </c>
      <c r="D15" s="263"/>
      <c r="E15" s="259" t="s">
        <v>157</v>
      </c>
      <c r="F15" s="267"/>
      <c r="G15" s="260">
        <v>174500</v>
      </c>
      <c r="H15" s="260">
        <v>107384.61538461532</v>
      </c>
      <c r="I15" s="260">
        <v>46980.769230769205</v>
      </c>
    </row>
    <row r="16" spans="1:9" ht="15.75" customHeight="1" hidden="1">
      <c r="A16" s="261" t="s">
        <v>156</v>
      </c>
      <c r="B16" s="262"/>
      <c r="C16" s="263">
        <v>84.47</v>
      </c>
      <c r="D16" s="263"/>
      <c r="E16" s="259" t="s">
        <v>158</v>
      </c>
      <c r="F16" s="267"/>
      <c r="G16" s="260">
        <v>175700</v>
      </c>
      <c r="H16" s="260">
        <v>108123.07692307685</v>
      </c>
      <c r="I16" s="260">
        <v>47303.84615384612</v>
      </c>
    </row>
    <row r="17" spans="1:9" ht="15.75" customHeight="1" hidden="1">
      <c r="A17" s="278"/>
      <c r="B17" s="278"/>
      <c r="C17" s="278"/>
      <c r="D17" s="278"/>
      <c r="E17" s="278"/>
      <c r="F17" s="278"/>
      <c r="G17" s="278"/>
      <c r="H17" s="278"/>
      <c r="I17" s="260"/>
    </row>
    <row r="18" spans="1:9" ht="15.75" customHeight="1" hidden="1">
      <c r="A18" s="261" t="s">
        <v>159</v>
      </c>
      <c r="B18" s="262"/>
      <c r="C18" s="263">
        <v>86.59</v>
      </c>
      <c r="D18" s="263"/>
      <c r="E18" s="259" t="s">
        <v>160</v>
      </c>
      <c r="F18" s="267"/>
      <c r="G18" s="260">
        <v>180100</v>
      </c>
      <c r="H18" s="260">
        <v>110830.76923076916</v>
      </c>
      <c r="I18" s="260">
        <v>48488.46153846151</v>
      </c>
    </row>
    <row r="19" spans="1:9" ht="15.75" customHeight="1" hidden="1">
      <c r="A19" s="261" t="s">
        <v>161</v>
      </c>
      <c r="B19" s="262"/>
      <c r="C19" s="263">
        <v>88.22</v>
      </c>
      <c r="D19" s="263"/>
      <c r="E19" s="259" t="s">
        <v>162</v>
      </c>
      <c r="F19" s="267"/>
      <c r="G19" s="260">
        <v>183500</v>
      </c>
      <c r="H19" s="260">
        <v>112923.07692307685</v>
      </c>
      <c r="I19" s="260">
        <v>49403.84615384612</v>
      </c>
    </row>
    <row r="20" spans="1:9" ht="15.75" customHeight="1" hidden="1">
      <c r="A20" s="261" t="s">
        <v>163</v>
      </c>
      <c r="B20" s="262"/>
      <c r="C20" s="263">
        <v>89.71</v>
      </c>
      <c r="D20" s="263"/>
      <c r="E20" s="259" t="s">
        <v>164</v>
      </c>
      <c r="F20" s="267"/>
      <c r="G20" s="260">
        <v>186600</v>
      </c>
      <c r="H20" s="260">
        <v>114830.76923076916</v>
      </c>
      <c r="I20" s="260">
        <v>50238.46153846151</v>
      </c>
    </row>
    <row r="21" spans="1:9" ht="15.75" hidden="1">
      <c r="A21" s="261"/>
      <c r="B21" s="271"/>
      <c r="C21" s="263">
        <v>91.97</v>
      </c>
      <c r="D21" s="263"/>
      <c r="E21" s="259" t="s">
        <v>251</v>
      </c>
      <c r="F21" s="267"/>
      <c r="G21" s="260">
        <v>191300</v>
      </c>
      <c r="H21" s="279">
        <f aca="true" t="shared" si="0" ref="H21:H26">G21*0.615384615384615</f>
        <v>117723.07692307685</v>
      </c>
      <c r="I21" s="274">
        <f aca="true" t="shared" si="1" ref="I21:I26">+H21*0.4375</f>
        <v>51503.84615384612</v>
      </c>
    </row>
    <row r="22" spans="1:9" ht="15.75" hidden="1">
      <c r="A22" s="261"/>
      <c r="B22" s="271"/>
      <c r="C22" s="263">
        <v>94.57</v>
      </c>
      <c r="D22" s="263"/>
      <c r="E22" s="259" t="s">
        <v>249</v>
      </c>
      <c r="F22" s="267"/>
      <c r="G22" s="260">
        <v>196700</v>
      </c>
      <c r="H22" s="279">
        <f t="shared" si="0"/>
        <v>121046.15384615377</v>
      </c>
      <c r="I22" s="274">
        <f t="shared" si="1"/>
        <v>52957.692307692276</v>
      </c>
    </row>
    <row r="23" spans="1:9" ht="15.75" hidden="1">
      <c r="A23" s="261"/>
      <c r="B23" s="271"/>
      <c r="C23" s="263">
        <v>96.01</v>
      </c>
      <c r="D23" s="263"/>
      <c r="E23" s="259" t="s">
        <v>250</v>
      </c>
      <c r="F23" s="267"/>
      <c r="G23" s="260">
        <v>199700</v>
      </c>
      <c r="H23" s="279">
        <f t="shared" si="0"/>
        <v>122892.30769230762</v>
      </c>
      <c r="I23" s="274">
        <f t="shared" si="1"/>
        <v>53765.38461538458</v>
      </c>
    </row>
    <row r="24" spans="1:9" s="143" customFormat="1" ht="15.75" hidden="1">
      <c r="A24" s="270"/>
      <c r="B24" s="271"/>
      <c r="C24" s="263">
        <v>86.39</v>
      </c>
      <c r="D24" s="263"/>
      <c r="E24" s="272" t="s">
        <v>262</v>
      </c>
      <c r="F24" s="273"/>
      <c r="G24" s="274">
        <v>179700</v>
      </c>
      <c r="H24" s="279">
        <f t="shared" si="0"/>
        <v>110584.61538461532</v>
      </c>
      <c r="I24" s="274">
        <f t="shared" si="1"/>
        <v>48380.769230769205</v>
      </c>
    </row>
    <row r="25" spans="1:9" s="143" customFormat="1" ht="15.75" hidden="1">
      <c r="A25" s="270"/>
      <c r="B25" s="271"/>
      <c r="C25" s="263">
        <v>87.26</v>
      </c>
      <c r="D25" s="263"/>
      <c r="E25" s="272" t="s">
        <v>252</v>
      </c>
      <c r="F25" s="273"/>
      <c r="G25" s="274">
        <v>181500</v>
      </c>
      <c r="H25" s="279">
        <f t="shared" si="0"/>
        <v>111692.30769230762</v>
      </c>
      <c r="I25" s="274">
        <f t="shared" si="1"/>
        <v>48865.38461538458</v>
      </c>
    </row>
    <row r="26" spans="1:9" s="143" customFormat="1" ht="15.75">
      <c r="A26" s="270"/>
      <c r="B26" s="271"/>
      <c r="C26" s="263">
        <v>88.13</v>
      </c>
      <c r="D26" s="263"/>
      <c r="E26" s="272" t="s">
        <v>260</v>
      </c>
      <c r="F26" s="273"/>
      <c r="G26" s="274">
        <v>183300</v>
      </c>
      <c r="H26" s="279">
        <f t="shared" si="0"/>
        <v>112799.99999999993</v>
      </c>
      <c r="I26" s="274">
        <f t="shared" si="1"/>
        <v>49349.99999999997</v>
      </c>
    </row>
    <row r="27" spans="1:9" ht="15.75">
      <c r="A27" s="270"/>
      <c r="B27" s="271"/>
      <c r="C27" s="263">
        <v>88.99</v>
      </c>
      <c r="D27" s="263"/>
      <c r="E27" s="272" t="s">
        <v>271</v>
      </c>
      <c r="F27" s="273"/>
      <c r="G27" s="274">
        <v>185100</v>
      </c>
      <c r="H27" s="279">
        <f>G27*0.615384615384615</f>
        <v>113907.69230769222</v>
      </c>
      <c r="I27" s="274">
        <f>+H27*0.4375</f>
        <v>49834.61538461535</v>
      </c>
    </row>
    <row r="28" spans="1:9" ht="15.75">
      <c r="A28" s="270"/>
      <c r="B28" s="271"/>
      <c r="C28" s="263">
        <v>89.9</v>
      </c>
      <c r="D28" s="263"/>
      <c r="E28" s="272" t="s">
        <v>272</v>
      </c>
      <c r="F28" s="273"/>
      <c r="G28" s="274">
        <v>187000</v>
      </c>
      <c r="H28" s="279">
        <f>G28*0.615384615384615</f>
        <v>115076.923076923</v>
      </c>
      <c r="I28" s="274">
        <f>+H28*0.4375</f>
        <v>50346.153846153815</v>
      </c>
    </row>
    <row r="29" spans="1:9" ht="12" customHeight="1">
      <c r="A29" s="253"/>
      <c r="B29" s="253"/>
      <c r="C29" s="253"/>
      <c r="D29" s="253"/>
      <c r="E29" s="253"/>
      <c r="F29" s="253"/>
      <c r="G29" s="253"/>
      <c r="H29" s="253"/>
      <c r="I29" s="260"/>
    </row>
    <row r="30" spans="1:9" ht="15.75">
      <c r="A30" s="322" t="s">
        <v>165</v>
      </c>
      <c r="B30" s="323"/>
      <c r="C30" s="323"/>
      <c r="D30" s="323"/>
      <c r="E30" s="323"/>
      <c r="F30" s="323"/>
      <c r="G30" s="324" t="s">
        <v>210</v>
      </c>
      <c r="H30" s="324"/>
      <c r="I30" s="313">
        <f>+H27+I27</f>
        <v>163742.30769230757</v>
      </c>
    </row>
    <row r="31" spans="1:9" ht="17.25" customHeight="1">
      <c r="A31" s="323"/>
      <c r="B31" s="323"/>
      <c r="C31" s="323"/>
      <c r="D31" s="323"/>
      <c r="E31" s="323"/>
      <c r="F31" s="323"/>
      <c r="G31" s="325"/>
      <c r="H31" s="325"/>
      <c r="I31" s="314"/>
    </row>
    <row r="32" spans="1:9" ht="15.75">
      <c r="A32" s="323"/>
      <c r="B32" s="323"/>
      <c r="C32" s="323"/>
      <c r="D32" s="323"/>
      <c r="E32" s="323"/>
      <c r="F32" s="323"/>
      <c r="G32" s="325"/>
      <c r="H32" s="325"/>
      <c r="I32" s="314"/>
    </row>
    <row r="33" spans="1:5" ht="12" customHeight="1">
      <c r="A33" s="249"/>
      <c r="B33" s="250"/>
      <c r="C33" s="250"/>
      <c r="D33" s="251"/>
      <c r="E33" s="252"/>
    </row>
    <row r="34" spans="1:9" ht="12.75" customHeight="1">
      <c r="A34" s="315" t="s">
        <v>166</v>
      </c>
      <c r="B34" s="316"/>
      <c r="C34" s="316"/>
      <c r="D34" s="317">
        <v>121049.18</v>
      </c>
      <c r="E34" s="318"/>
      <c r="F34" s="253"/>
      <c r="G34" s="253"/>
      <c r="H34" s="253"/>
      <c r="I34" s="253"/>
    </row>
    <row r="35" spans="1:9" ht="12.75" customHeight="1">
      <c r="A35" s="253"/>
      <c r="B35" s="253"/>
      <c r="C35" s="253"/>
      <c r="D35" s="269"/>
      <c r="E35" s="269"/>
      <c r="F35" s="253"/>
      <c r="G35" s="253"/>
      <c r="H35" s="253"/>
      <c r="I35" s="253"/>
    </row>
    <row r="36" spans="1:9" ht="15.75">
      <c r="A36" s="253"/>
      <c r="B36" s="253"/>
      <c r="C36" s="268" t="s">
        <v>167</v>
      </c>
      <c r="D36" s="319">
        <f>D34/33*14</f>
        <v>51354.19757575757</v>
      </c>
      <c r="E36" s="319"/>
      <c r="F36" s="253"/>
      <c r="G36" s="253"/>
      <c r="H36" s="320" t="s">
        <v>273</v>
      </c>
      <c r="I36" s="320"/>
    </row>
  </sheetData>
  <sheetProtection/>
  <mergeCells count="8">
    <mergeCell ref="I30:I32"/>
    <mergeCell ref="A34:C34"/>
    <mergeCell ref="D34:E34"/>
    <mergeCell ref="D36:E36"/>
    <mergeCell ref="H36:I36"/>
    <mergeCell ref="C9:D9"/>
    <mergeCell ref="A30:F32"/>
    <mergeCell ref="G30:H32"/>
  </mergeCells>
  <conditionalFormatting sqref="A4 A7:A9 A11:A16 A18:A24">
    <cfRule type="cellIs" priority="4" dxfId="4" operator="greaterThan" stopIfTrue="1">
      <formula>$L$4</formula>
    </cfRule>
  </conditionalFormatting>
  <conditionalFormatting sqref="A24">
    <cfRule type="cellIs" priority="3" dxfId="4" operator="greaterThan" stopIfTrue="1">
      <formula>$L$4</formula>
    </cfRule>
  </conditionalFormatting>
  <conditionalFormatting sqref="A25:A26">
    <cfRule type="cellIs" priority="2" dxfId="4" operator="greaterThan" stopIfTrue="1">
      <formula>$L$4</formula>
    </cfRule>
  </conditionalFormatting>
  <conditionalFormatting sqref="A25:A26">
    <cfRule type="cellIs" priority="1" dxfId="4" operator="greaterThan" stopIfTrue="1">
      <formula>$L$4</formula>
    </cfRule>
  </conditionalFormatting>
  <printOptions/>
  <pageMargins left="0.25" right="0.25" top="0.75" bottom="0.75" header="0.3" footer="0.3"/>
  <pageSetup horizontalDpi="300" verticalDpi="300" orientation="landscape" r:id="rId3"/>
  <legacyDrawing r:id="rId2"/>
</worksheet>
</file>

<file path=xl/worksheets/sheet9.xml><?xml version="1.0" encoding="utf-8"?>
<worksheet xmlns="http://schemas.openxmlformats.org/spreadsheetml/2006/main" xmlns:r="http://schemas.openxmlformats.org/officeDocument/2006/relationships">
  <dimension ref="A1:R43"/>
  <sheetViews>
    <sheetView showGridLines="0" workbookViewId="0" topLeftCell="A1">
      <selection activeCell="A1" sqref="A1"/>
    </sheetView>
  </sheetViews>
  <sheetFormatPr defaultColWidth="8.00390625" defaultRowHeight="15.75"/>
  <cols>
    <col min="1" max="6" width="8.00390625" style="105" customWidth="1"/>
    <col min="7" max="8" width="9.375" style="105" customWidth="1"/>
    <col min="9" max="9" width="4.125" style="105" customWidth="1"/>
    <col min="10" max="11" width="9.375" style="105" customWidth="1"/>
    <col min="12" max="12" width="4.125" style="105" customWidth="1"/>
    <col min="13" max="16" width="9.375" style="105" customWidth="1"/>
    <col min="17" max="17" width="4.125" style="105" customWidth="1"/>
    <col min="18" max="19" width="9.375" style="105" customWidth="1"/>
    <col min="20" max="16384" width="8.00390625" style="105" customWidth="1"/>
  </cols>
  <sheetData>
    <row r="1" spans="8:17" ht="12">
      <c r="H1" s="106" t="s">
        <v>168</v>
      </c>
      <c r="K1" s="107"/>
      <c r="L1" s="107"/>
      <c r="P1" s="106"/>
      <c r="Q1" s="108"/>
    </row>
    <row r="2" spans="8:17" ht="12">
      <c r="H2" s="106" t="s">
        <v>169</v>
      </c>
      <c r="K2" s="107"/>
      <c r="L2" s="107"/>
      <c r="M2" s="107"/>
      <c r="O2" s="106"/>
      <c r="P2" s="106"/>
      <c r="Q2" s="108"/>
    </row>
    <row r="6" spans="1:14" ht="12">
      <c r="A6" s="328" t="s">
        <v>170</v>
      </c>
      <c r="B6" s="328"/>
      <c r="C6" s="109"/>
      <c r="D6" s="330" t="s">
        <v>171</v>
      </c>
      <c r="E6" s="331"/>
      <c r="F6" s="110"/>
      <c r="G6" s="328" t="s">
        <v>172</v>
      </c>
      <c r="H6" s="328"/>
      <c r="I6" s="111"/>
      <c r="J6" s="326"/>
      <c r="K6" s="326"/>
      <c r="L6" s="112"/>
      <c r="M6" s="326"/>
      <c r="N6" s="326"/>
    </row>
    <row r="7" spans="1:14" ht="12">
      <c r="A7" s="329" t="s">
        <v>173</v>
      </c>
      <c r="B7" s="329"/>
      <c r="C7" s="113"/>
      <c r="D7" s="332" t="s">
        <v>174</v>
      </c>
      <c r="E7" s="333"/>
      <c r="F7" s="110"/>
      <c r="G7" s="329" t="s">
        <v>175</v>
      </c>
      <c r="H7" s="334"/>
      <c r="I7" s="114"/>
      <c r="J7" s="326"/>
      <c r="K7" s="326"/>
      <c r="L7" s="115"/>
      <c r="M7" s="326"/>
      <c r="N7" s="326"/>
    </row>
    <row r="8" spans="1:14" ht="12">
      <c r="A8" s="114"/>
      <c r="B8" s="114"/>
      <c r="C8" s="114"/>
      <c r="D8" s="114"/>
      <c r="E8" s="110"/>
      <c r="F8" s="110"/>
      <c r="G8" s="114"/>
      <c r="H8" s="114"/>
      <c r="I8" s="114"/>
      <c r="J8" s="115"/>
      <c r="K8" s="115"/>
      <c r="L8" s="115"/>
      <c r="M8" s="115"/>
      <c r="N8" s="115"/>
    </row>
    <row r="9" spans="1:14" ht="12">
      <c r="A9" s="116" t="s">
        <v>176</v>
      </c>
      <c r="B9" s="116" t="s">
        <v>177</v>
      </c>
      <c r="C9" s="111"/>
      <c r="D9" s="116" t="s">
        <v>178</v>
      </c>
      <c r="E9" s="117" t="s">
        <v>130</v>
      </c>
      <c r="F9" s="110"/>
      <c r="G9" s="116" t="s">
        <v>179</v>
      </c>
      <c r="H9" s="116" t="s">
        <v>180</v>
      </c>
      <c r="I9" s="111"/>
      <c r="J9" s="118"/>
      <c r="K9" s="118"/>
      <c r="L9" s="112"/>
      <c r="M9" s="118"/>
      <c r="N9" s="118"/>
    </row>
    <row r="10" spans="3:14" ht="12">
      <c r="C10" s="119"/>
      <c r="E10" s="119"/>
      <c r="F10" s="119"/>
      <c r="G10" s="119"/>
      <c r="J10" s="120"/>
      <c r="K10" s="120"/>
      <c r="L10" s="120"/>
      <c r="M10" s="120"/>
      <c r="N10" s="120"/>
    </row>
    <row r="11" spans="1:14" ht="12">
      <c r="A11" s="121">
        <v>0.415</v>
      </c>
      <c r="B11" s="122">
        <f>14*A11/4.3333</f>
        <v>1.3407795444580342</v>
      </c>
      <c r="C11" s="123"/>
      <c r="D11" s="121">
        <f>A11</f>
        <v>0.415</v>
      </c>
      <c r="E11" s="122">
        <f>32*D11/4.3333</f>
        <v>3.0646389587612206</v>
      </c>
      <c r="F11" s="120"/>
      <c r="G11" s="124">
        <f>A11</f>
        <v>0.415</v>
      </c>
      <c r="H11" s="122">
        <f>52*G11/4.3333</f>
        <v>4.980038307986984</v>
      </c>
      <c r="I11" s="121"/>
      <c r="J11" s="125"/>
      <c r="K11" s="126"/>
      <c r="L11" s="127"/>
      <c r="M11" s="125"/>
      <c r="N11" s="123"/>
    </row>
    <row r="12" spans="1:14" ht="12.75" thickBot="1">
      <c r="A12" s="128"/>
      <c r="B12" s="129"/>
      <c r="C12" s="130"/>
      <c r="D12" s="128"/>
      <c r="E12" s="131"/>
      <c r="F12" s="131"/>
      <c r="G12" s="128"/>
      <c r="H12" s="129"/>
      <c r="I12" s="128"/>
      <c r="J12" s="132"/>
      <c r="K12" s="132"/>
      <c r="L12" s="132"/>
      <c r="M12" s="132"/>
      <c r="N12" s="133"/>
    </row>
    <row r="13" spans="8:18" ht="12">
      <c r="H13" s="134"/>
      <c r="N13" s="134"/>
      <c r="R13" s="134"/>
    </row>
    <row r="14" spans="1:16" ht="12">
      <c r="A14" s="135" t="s">
        <v>181</v>
      </c>
      <c r="B14" s="136"/>
      <c r="C14" s="136"/>
      <c r="D14" s="136"/>
      <c r="E14" s="136"/>
      <c r="F14" s="136"/>
      <c r="G14" s="135"/>
      <c r="H14" s="135"/>
      <c r="I14" s="135"/>
      <c r="J14" s="135"/>
      <c r="K14" s="136"/>
      <c r="L14" s="136"/>
      <c r="M14" s="135"/>
      <c r="N14" s="135"/>
      <c r="O14" s="136"/>
      <c r="P14" s="135"/>
    </row>
    <row r="15" spans="1:16" ht="12">
      <c r="A15" s="135"/>
      <c r="B15" s="136"/>
      <c r="C15" s="136"/>
      <c r="D15" s="136"/>
      <c r="E15" s="136"/>
      <c r="F15" s="136"/>
      <c r="G15" s="135"/>
      <c r="H15" s="135"/>
      <c r="I15" s="135"/>
      <c r="J15" s="135"/>
      <c r="K15" s="136"/>
      <c r="L15" s="136"/>
      <c r="M15" s="135"/>
      <c r="N15" s="135"/>
      <c r="O15" s="136"/>
      <c r="P15" s="135"/>
    </row>
    <row r="16" spans="1:16" ht="12">
      <c r="A16" s="135" t="s">
        <v>182</v>
      </c>
      <c r="B16" s="136"/>
      <c r="C16" s="136"/>
      <c r="D16" s="136"/>
      <c r="E16" s="136"/>
      <c r="F16" s="136"/>
      <c r="G16" s="135"/>
      <c r="H16" s="135"/>
      <c r="I16" s="135"/>
      <c r="J16" s="135"/>
      <c r="K16" s="136"/>
      <c r="L16" s="136"/>
      <c r="M16" s="135"/>
      <c r="N16" s="135"/>
      <c r="O16" s="136"/>
      <c r="P16" s="135"/>
    </row>
    <row r="17" spans="1:16" ht="12">
      <c r="A17" s="135" t="s">
        <v>183</v>
      </c>
      <c r="B17" s="136"/>
      <c r="C17" s="136"/>
      <c r="D17" s="136"/>
      <c r="E17" s="136"/>
      <c r="F17" s="136"/>
      <c r="G17" s="135"/>
      <c r="H17" s="135"/>
      <c r="I17" s="135"/>
      <c r="J17" s="135"/>
      <c r="K17" s="136"/>
      <c r="L17" s="136"/>
      <c r="M17" s="135"/>
      <c r="N17" s="135"/>
      <c r="O17" s="136"/>
      <c r="P17" s="135"/>
    </row>
    <row r="18" spans="2:15" ht="12">
      <c r="B18" s="134"/>
      <c r="C18" s="134"/>
      <c r="D18" s="134"/>
      <c r="E18" s="134"/>
      <c r="F18" s="134"/>
      <c r="K18" s="134"/>
      <c r="L18" s="134"/>
      <c r="O18" s="134"/>
    </row>
    <row r="19" spans="2:15" ht="12">
      <c r="B19" s="134"/>
      <c r="C19" s="134"/>
      <c r="D19" s="134"/>
      <c r="E19" s="134"/>
      <c r="F19" s="134"/>
      <c r="K19" s="134"/>
      <c r="L19" s="134"/>
      <c r="O19" s="134"/>
    </row>
    <row r="20" spans="1:15" ht="12">
      <c r="A20" s="137" t="s">
        <v>184</v>
      </c>
      <c r="K20" s="134"/>
      <c r="L20" s="134"/>
      <c r="O20" s="134"/>
    </row>
    <row r="21" spans="1:15" ht="12">
      <c r="A21" s="137" t="s">
        <v>185</v>
      </c>
      <c r="K21" s="134"/>
      <c r="L21" s="134"/>
      <c r="O21" s="134"/>
    </row>
    <row r="22" spans="1:15" ht="12">
      <c r="A22" s="137"/>
      <c r="K22" s="134"/>
      <c r="L22" s="134"/>
      <c r="O22" s="134"/>
    </row>
    <row r="23" spans="1:11" ht="12">
      <c r="A23" s="137" t="s">
        <v>186</v>
      </c>
      <c r="D23" s="137" t="s">
        <v>187</v>
      </c>
      <c r="E23" s="137"/>
      <c r="K23" s="134"/>
    </row>
    <row r="24" spans="1:11" ht="12">
      <c r="A24" s="137" t="s">
        <v>188</v>
      </c>
      <c r="D24" s="137" t="s">
        <v>189</v>
      </c>
      <c r="E24" s="137"/>
      <c r="K24" s="134"/>
    </row>
    <row r="25" spans="1:11" ht="12">
      <c r="A25" s="137" t="s">
        <v>190</v>
      </c>
      <c r="D25" s="137" t="s">
        <v>191</v>
      </c>
      <c r="E25" s="137"/>
      <c r="K25" s="134"/>
    </row>
    <row r="26" spans="1:15" ht="12">
      <c r="A26" s="137" t="s">
        <v>1</v>
      </c>
      <c r="K26" s="134"/>
      <c r="L26" s="134"/>
      <c r="O26" s="134"/>
    </row>
    <row r="27" spans="1:15" ht="12">
      <c r="A27" s="137" t="s">
        <v>192</v>
      </c>
      <c r="K27" s="134"/>
      <c r="L27" s="134"/>
      <c r="O27" s="134"/>
    </row>
    <row r="28" spans="1:15" ht="12">
      <c r="A28" s="137" t="s">
        <v>193</v>
      </c>
      <c r="K28" s="134"/>
      <c r="L28" s="134"/>
      <c r="O28" s="134"/>
    </row>
    <row r="29" spans="1:15" ht="12">
      <c r="A29" s="138"/>
      <c r="K29" s="134"/>
      <c r="L29" s="134"/>
      <c r="O29" s="134"/>
    </row>
    <row r="30" ht="12">
      <c r="A30" s="105" t="s">
        <v>194</v>
      </c>
    </row>
    <row r="31" ht="12.75">
      <c r="C31" s="139" t="s">
        <v>195</v>
      </c>
    </row>
    <row r="32" ht="12.75">
      <c r="C32" s="139" t="s">
        <v>196</v>
      </c>
    </row>
    <row r="33" ht="12.75">
      <c r="C33" s="139" t="s">
        <v>197</v>
      </c>
    </row>
    <row r="34" spans="1:15" ht="12">
      <c r="A34" s="140" t="s">
        <v>198</v>
      </c>
      <c r="B34" s="138"/>
      <c r="C34" s="138"/>
      <c r="D34" s="138"/>
      <c r="E34" s="138"/>
      <c r="F34" s="138"/>
      <c r="K34" s="134"/>
      <c r="L34" s="134"/>
      <c r="O34" s="134"/>
    </row>
    <row r="35" spans="1:12" ht="12.75">
      <c r="A35" s="138"/>
      <c r="C35" s="139" t="s">
        <v>199</v>
      </c>
      <c r="D35" s="139"/>
      <c r="E35" s="139"/>
      <c r="F35" s="141"/>
      <c r="G35" s="139"/>
      <c r="H35" s="139"/>
      <c r="I35" s="139"/>
      <c r="J35" s="139"/>
      <c r="K35" s="139"/>
      <c r="L35" s="134"/>
    </row>
    <row r="36" spans="1:11" ht="12.75">
      <c r="A36" s="138"/>
      <c r="C36" s="139" t="s">
        <v>200</v>
      </c>
      <c r="D36" s="139"/>
      <c r="E36" s="139"/>
      <c r="F36" s="139"/>
      <c r="G36" s="139"/>
      <c r="H36" s="139"/>
      <c r="I36" s="139"/>
      <c r="J36" s="139"/>
      <c r="K36" s="139"/>
    </row>
    <row r="37" spans="3:11" ht="12.75">
      <c r="C37" s="139" t="s">
        <v>201</v>
      </c>
      <c r="D37" s="139"/>
      <c r="E37" s="139"/>
      <c r="F37" s="139"/>
      <c r="G37" s="139"/>
      <c r="H37" s="139"/>
      <c r="I37" s="139"/>
      <c r="J37" s="139"/>
      <c r="K37" s="139"/>
    </row>
    <row r="39" ht="12">
      <c r="A39" s="105" t="s">
        <v>202</v>
      </c>
    </row>
    <row r="40" spans="3:11" ht="12.75">
      <c r="C40" s="139" t="s">
        <v>203</v>
      </c>
      <c r="D40" s="139"/>
      <c r="E40" s="139"/>
      <c r="F40" s="139"/>
      <c r="G40" s="139"/>
      <c r="H40" s="139"/>
      <c r="I40" s="139"/>
      <c r="J40" s="139"/>
      <c r="K40" s="139"/>
    </row>
    <row r="41" spans="3:11" ht="12.75">
      <c r="C41" s="139" t="s">
        <v>204</v>
      </c>
      <c r="D41" s="139"/>
      <c r="E41" s="139"/>
      <c r="F41" s="139"/>
      <c r="G41" s="139"/>
      <c r="H41" s="139"/>
      <c r="I41" s="139"/>
      <c r="J41" s="139"/>
      <c r="K41" s="139"/>
    </row>
    <row r="42" spans="3:11" ht="12.75">
      <c r="C42" s="139" t="s">
        <v>205</v>
      </c>
      <c r="D42" s="139"/>
      <c r="E42" s="139"/>
      <c r="F42" s="139"/>
      <c r="G42" s="139"/>
      <c r="H42" s="139"/>
      <c r="I42" s="139"/>
      <c r="J42" s="139"/>
      <c r="K42" s="139"/>
    </row>
    <row r="43" spans="12:14" ht="15.75">
      <c r="L43" s="327">
        <f>'RATES-Fed'!Q64</f>
        <v>0</v>
      </c>
      <c r="M43" s="327"/>
      <c r="N43" s="327"/>
    </row>
  </sheetData>
  <sheetProtection/>
  <mergeCells count="11">
    <mergeCell ref="J6:K6"/>
    <mergeCell ref="J7:K7"/>
    <mergeCell ref="L43:N43"/>
    <mergeCell ref="A6:B6"/>
    <mergeCell ref="A7:B7"/>
    <mergeCell ref="M6:N6"/>
    <mergeCell ref="M7:N7"/>
    <mergeCell ref="D6:E6"/>
    <mergeCell ref="D7:E7"/>
    <mergeCell ref="G6:H6"/>
    <mergeCell ref="G7:H7"/>
  </mergeCells>
  <printOptions horizontalCentered="1"/>
  <pageMargins left="0.5" right="0.3" top="1" bottom="1" header="0.5" footer="0.5"/>
  <pageSetup horizontalDpi="600" verticalDpi="600" orientation="landscape"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Custom Data Solutions - WS1</dc:creator>
  <cp:keywords/>
  <dc:description/>
  <cp:lastModifiedBy>Jacob Lester</cp:lastModifiedBy>
  <cp:lastPrinted>2011-05-27T17:57:46Z</cp:lastPrinted>
  <dcterms:created xsi:type="dcterms:W3CDTF">1997-02-25T19:32:14Z</dcterms:created>
  <dcterms:modified xsi:type="dcterms:W3CDTF">2017-08-14T15:50:40Z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