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285" windowWidth="24750" windowHeight="6480" tabRatio="784" activeTab="5"/>
  </bookViews>
  <sheets>
    <sheet name="Instructions " sheetId="1" r:id="rId1"/>
    <sheet name="1 Year" sheetId="2" r:id="rId2"/>
    <sheet name="2 Year" sheetId="3" r:id="rId3"/>
    <sheet name="3 Year" sheetId="4" r:id="rId4"/>
    <sheet name="4 Year" sheetId="5" r:id="rId5"/>
    <sheet name="5 Year" sheetId="6" r:id="rId6"/>
    <sheet name="RATES-Fed" sheetId="7" r:id="rId7"/>
    <sheet name="NIH sal cap info" sheetId="8" r:id="rId8"/>
    <sheet name="Conversion Chart" sheetId="9" r:id="rId9"/>
    <sheet name="Ref" sheetId="10" r:id="rId10"/>
  </sheets>
  <externalReferences>
    <externalReference r:id="rId13"/>
    <externalReference r:id="rId14"/>
  </externalReferences>
  <definedNames>
    <definedName name="APPTS">'Ref'!$C$9:$C$12</definedName>
    <definedName name="CombDirectTotal">#REF!</definedName>
    <definedName name="CombIndirect" localSheetId="7">#REF!</definedName>
    <definedName name="CombIndirect">'[1]CHKLST'!#REF!</definedName>
    <definedName name="FirstAltTotal">#REF!</definedName>
    <definedName name="FirstConsultTotal">#REF!</definedName>
    <definedName name="FirstEquipTotal">#REF!</definedName>
    <definedName name="FirstIndirect">#REF!</definedName>
    <definedName name="FirstInptTotal">#REF!</definedName>
    <definedName name="FirstOtrTotal">#REF!</definedName>
    <definedName name="FirstOutptTotal">#REF!</definedName>
    <definedName name="FirstPersonTotal">#REF!</definedName>
    <definedName name="FirstSubcDirect">#REF!</definedName>
    <definedName name="FirstSubcIDC">#REF!</definedName>
    <definedName name="FirstSubtotal">#REF!</definedName>
    <definedName name="FirstSupplTotal">#REF!</definedName>
    <definedName name="FirstTotalDirect">#REF!</definedName>
    <definedName name="FirstTravTotal">#REF!</definedName>
    <definedName name="_xlnm.Print_Area" localSheetId="1">'1 Year'!$A$1:$O$88</definedName>
    <definedName name="_xlnm.Print_Area" localSheetId="8">'Conversion Chart'!$A$1:$N$43</definedName>
    <definedName name="_xlnm.Print_Area" localSheetId="7">'NIH sal cap info'!$A$1:$I$36</definedName>
    <definedName name="Print_Area_MI">#REF!</definedName>
    <definedName name="Print_Titles_MI" localSheetId="7">#REF!</definedName>
    <definedName name="Print_Titles_MI">'[1]FACE'!#REF!</definedName>
    <definedName name="PRSALARY">#REF!</definedName>
    <definedName name="Year1Sub">#REF!</definedName>
    <definedName name="Year2Inc">'[2]Ref'!$C$4</definedName>
    <definedName name="Year2Sub">#REF!</definedName>
    <definedName name="Year3Inc">'[2]Ref'!$C$5</definedName>
    <definedName name="Year3Sub">#REF!</definedName>
    <definedName name="Year4Inc">'[2]Ref'!$C$6</definedName>
    <definedName name="Year4Sub">#REF!</definedName>
    <definedName name="Year5Inc">'[2]Ref'!$C$7</definedName>
    <definedName name="Year5Sub">#REF!</definedName>
  </definedNames>
  <calcPr fullCalcOnLoad="1"/>
</workbook>
</file>

<file path=xl/comments2.xml><?xml version="1.0" encoding="utf-8"?>
<comments xmlns="http://schemas.openxmlformats.org/spreadsheetml/2006/main">
  <authors>
    <author>OSP-West</author>
  </authors>
  <commentList>
    <comment ref="D16" authorId="0">
      <text>
        <r>
          <rPr>
            <sz val="10"/>
            <rFont val="Tahoma"/>
            <family val="2"/>
          </rPr>
          <t>College of Medicine faculty are primarily on 52 week appointments and are not eligble for Recess (Extra Comp) pay.</t>
        </r>
      </text>
    </comment>
    <comment ref="C58" authorId="0">
      <text>
        <r>
          <rPr>
            <sz val="10"/>
            <rFont val="Tahoma"/>
            <family val="2"/>
          </rPr>
          <t xml:space="preserve">Based on recent rate increases we suggest that a 3% per year inflation factor be used to project future tuition rates. </t>
        </r>
      </text>
    </comment>
    <comment ref="D20" authorId="0">
      <text>
        <r>
          <rPr>
            <sz val="10"/>
            <rFont val="Tahoma"/>
            <family val="2"/>
          </rPr>
          <t>College of Medicine faculty are primarily on 52 week appointments and are not eligble for Recess (Extra Comp) pay.</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List>
</comments>
</file>

<file path=xl/comments3.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C58" authorId="0">
      <text>
        <r>
          <rPr>
            <sz val="10"/>
            <rFont val="Tahoma"/>
            <family val="2"/>
          </rPr>
          <t xml:space="preserve">Based on recent rate increases we suggest that a 3% per year inflation factor be used to project future tuition rates. </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List>
</comments>
</file>

<file path=xl/comments4.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C58" authorId="0">
      <text>
        <r>
          <rPr>
            <sz val="10"/>
            <rFont val="Tahoma"/>
            <family val="2"/>
          </rPr>
          <t xml:space="preserve">Based on recent rate increases we suggest that a 3% per year inflation factor be used to project future tuition rates. </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List>
</comments>
</file>

<file path=xl/comments5.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C58" authorId="0">
      <text>
        <r>
          <rPr>
            <sz val="10"/>
            <rFont val="Tahoma"/>
            <family val="2"/>
          </rPr>
          <t xml:space="preserve">Based on recent rate increases we suggest that a 3% per year inflation factor be used to project future tuition rates. </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List>
</comments>
</file>

<file path=xl/comments6.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 ref="C58" authorId="0">
      <text>
        <r>
          <rPr>
            <sz val="10"/>
            <rFont val="Tahoma"/>
            <family val="2"/>
          </rPr>
          <t xml:space="preserve">Based on recent rate increases we suggest that a 3% per year inflation factor be used to project future tuition rates. </t>
        </r>
      </text>
    </comment>
  </commentList>
</comments>
</file>

<file path=xl/comments8.xml><?xml version="1.0" encoding="utf-8"?>
<comments xmlns="http://schemas.openxmlformats.org/spreadsheetml/2006/main">
  <authors>
    <author>stephedd</author>
  </authors>
  <commentList>
    <comment ref="A4" authorId="0">
      <text>
        <r>
          <rPr>
            <b/>
            <sz val="10"/>
            <rFont val="Tahoma"/>
            <family val="2"/>
          </rPr>
          <t>Award start date: 10/98-9/99
Effort after 12/31/99</t>
        </r>
      </text>
    </comment>
    <comment ref="A7" authorId="0">
      <text>
        <r>
          <rPr>
            <b/>
            <sz val="10"/>
            <rFont val="Tahoma"/>
            <family val="2"/>
          </rPr>
          <t xml:space="preserve">Award start date: 10/99-09/00
Effort between 10/99 - 12/99
</t>
        </r>
      </text>
    </comment>
    <comment ref="A8" authorId="0">
      <text>
        <r>
          <rPr>
            <b/>
            <sz val="10"/>
            <rFont val="Tahoma"/>
            <family val="2"/>
          </rPr>
          <t>Award start date: 10/99-9/00
Effort after 12/31/99</t>
        </r>
      </text>
    </comment>
    <comment ref="A9" authorId="0">
      <text>
        <r>
          <rPr>
            <b/>
            <sz val="10"/>
            <rFont val="Tahoma"/>
            <family val="2"/>
          </rPr>
          <t xml:space="preserve">Award start date: 10/00-09/01
Effort between 10/01 - 12/01
</t>
        </r>
      </text>
    </comment>
    <comment ref="A11" authorId="0">
      <text>
        <r>
          <rPr>
            <b/>
            <sz val="10"/>
            <rFont val="Tahoma"/>
            <family val="2"/>
          </rPr>
          <t>Award start date: 10/00-9/01
Effort between 
10/31/00-12/31/00</t>
        </r>
      </text>
    </comment>
    <comment ref="A12" authorId="0">
      <text>
        <r>
          <rPr>
            <b/>
            <sz val="10"/>
            <rFont val="Tahoma"/>
            <family val="2"/>
          </rPr>
          <t>Award start date: 10/00-09/01
Effort after 12/31/00</t>
        </r>
      </text>
    </comment>
  </commentList>
</comments>
</file>

<file path=xl/sharedStrings.xml><?xml version="1.0" encoding="utf-8"?>
<sst xmlns="http://schemas.openxmlformats.org/spreadsheetml/2006/main" count="869" uniqueCount="282">
  <si>
    <t>Grants / Contracts</t>
  </si>
  <si>
    <t xml:space="preserve"> </t>
  </si>
  <si>
    <t xml:space="preserve">Sponsoring Agency : </t>
  </si>
  <si>
    <t xml:space="preserve">Titled : </t>
  </si>
  <si>
    <t xml:space="preserve">Principal Investigator : </t>
  </si>
  <si>
    <t xml:space="preserve">Period : </t>
  </si>
  <si>
    <t>thru</t>
  </si>
  <si>
    <t>YEAR 1</t>
  </si>
  <si>
    <t>CUMULATIVE</t>
  </si>
  <si>
    <t>A.</t>
  </si>
  <si>
    <t xml:space="preserve"> Salaries</t>
  </si>
  <si>
    <t>Senior Personnel</t>
  </si>
  <si>
    <t>% Effort</t>
  </si>
  <si>
    <t>Salary</t>
  </si>
  <si>
    <t>PI</t>
  </si>
  <si>
    <t>Co</t>
  </si>
  <si>
    <t xml:space="preserve">Senior Personnel Subtotal : </t>
  </si>
  <si>
    <t xml:space="preserve"> Other Personnel</t>
  </si>
  <si>
    <t>Graduate Students</t>
  </si>
  <si>
    <t>Undergrad Students</t>
  </si>
  <si>
    <t>Part-time Faculty/Staff</t>
  </si>
  <si>
    <t>Year 1</t>
  </si>
  <si>
    <t>Faculty</t>
  </si>
  <si>
    <t xml:space="preserve">Total Salaries and Fringe Benefits : </t>
  </si>
  <si>
    <t>D.</t>
  </si>
  <si>
    <t xml:space="preserve"> Equipment</t>
  </si>
  <si>
    <t>(list)</t>
  </si>
  <si>
    <t xml:space="preserve">Total Equipment : </t>
  </si>
  <si>
    <t>E.</t>
  </si>
  <si>
    <t xml:space="preserve"> Travel</t>
  </si>
  <si>
    <t xml:space="preserve">Domestic </t>
  </si>
  <si>
    <t xml:space="preserve">International </t>
  </si>
  <si>
    <t xml:space="preserve">Total Travel : </t>
  </si>
  <si>
    <t>G.</t>
  </si>
  <si>
    <t xml:space="preserve"> Supplies and Other Direct Costs</t>
  </si>
  <si>
    <t>Materials &amp; Supplies</t>
  </si>
  <si>
    <t>Publication Costs</t>
  </si>
  <si>
    <t>Consultant Services</t>
  </si>
  <si>
    <t>Computer Services</t>
  </si>
  <si>
    <t>Other (Analytical Services/Instrument Use)</t>
  </si>
  <si>
    <t>Subcontracts       1)</t>
  </si>
  <si>
    <t>2)</t>
  </si>
  <si>
    <t xml:space="preserve">Total Supplies and Other Direct Costs : </t>
  </si>
  <si>
    <t xml:space="preserve">TOTAL DIRECT COSTS: </t>
  </si>
  <si>
    <t xml:space="preserve">Sub-Contract &lt;$25,000 1): </t>
  </si>
  <si>
    <t xml:space="preserve">Sub-Contract &lt;$25,000 2): </t>
  </si>
  <si>
    <t>Total  Cost</t>
  </si>
  <si>
    <t xml:space="preserve">Purpose of Grant / Contract : </t>
  </si>
  <si>
    <t>R</t>
  </si>
  <si>
    <t>(R = Research, I = Instruction, P = Public Service, S = Special Rate on Total Costs)</t>
  </si>
  <si>
    <t>Campus Status :</t>
  </si>
  <si>
    <t>C</t>
  </si>
  <si>
    <t>(C = On Campus, O = Off Campus)</t>
  </si>
  <si>
    <t>YEAR 2</t>
  </si>
  <si>
    <t>Year 2</t>
  </si>
  <si>
    <t>YEAR 3</t>
  </si>
  <si>
    <t>Year 3</t>
  </si>
  <si>
    <t>YEAR 4</t>
  </si>
  <si>
    <t>Year 4</t>
  </si>
  <si>
    <t>YEAR 5</t>
  </si>
  <si>
    <t>Year 5</t>
  </si>
  <si>
    <t xml:space="preserve">Budget Period : </t>
  </si>
  <si>
    <t>-</t>
  </si>
  <si>
    <t>Fringe Benefit Rates</t>
  </si>
  <si>
    <t>Faculty (AAUP)</t>
  </si>
  <si>
    <t>NonExempt Staff (Bi-Weekly)</t>
  </si>
  <si>
    <t>Students (Grad and Undergrad)</t>
  </si>
  <si>
    <t>PRO-RATED RATES USED</t>
  </si>
  <si>
    <t>weight</t>
  </si>
  <si>
    <t>YEAR 6</t>
  </si>
  <si>
    <t>YEAR 7</t>
  </si>
  <si>
    <t>name</t>
  </si>
  <si>
    <t>Click on Rates worksheet</t>
  </si>
  <si>
    <t>The amount will automatically calculate  and be entered in the year 1 column</t>
  </si>
  <si>
    <t>Proceed to enter budget dollars for remainder of personnel</t>
  </si>
  <si>
    <t>Fringes will calculate automatically for you.</t>
  </si>
  <si>
    <t>Proceed to enter budget dollars for remainder of cost categories.</t>
  </si>
  <si>
    <t xml:space="preserve">If you are using a multi year budget you will notice in years 2 and beyond </t>
  </si>
  <si>
    <t>some of the fields are calculating automatically (4% increase)</t>
  </si>
  <si>
    <t>You may override any of those dollars by entering any number in the field.</t>
  </si>
  <si>
    <r>
      <t xml:space="preserve">Change the budget period </t>
    </r>
    <r>
      <rPr>
        <sz val="12"/>
        <color indexed="12"/>
        <rFont val="Times New Roman"/>
        <family val="1"/>
      </rPr>
      <t>dates</t>
    </r>
    <r>
      <rPr>
        <sz val="12"/>
        <rFont val="Times New Roman"/>
        <family val="0"/>
      </rPr>
      <t xml:space="preserve"> to coincide with your project period</t>
    </r>
  </si>
  <si>
    <r>
      <t>Click on the word</t>
    </r>
    <r>
      <rPr>
        <sz val="12"/>
        <color indexed="12"/>
        <rFont val="Times New Roman"/>
        <family val="1"/>
      </rPr>
      <t xml:space="preserve"> name </t>
    </r>
    <r>
      <rPr>
        <sz val="12"/>
        <rFont val="Times New Roman"/>
        <family val="0"/>
      </rPr>
      <t>next to Sponsoring Agency and enter your sponsor's name</t>
    </r>
  </si>
  <si>
    <r>
      <t xml:space="preserve">Click on the word </t>
    </r>
    <r>
      <rPr>
        <sz val="12"/>
        <color indexed="12"/>
        <rFont val="Times New Roman"/>
        <family val="1"/>
      </rPr>
      <t xml:space="preserve">name </t>
    </r>
    <r>
      <rPr>
        <sz val="12"/>
        <rFont val="Times New Roman"/>
        <family val="0"/>
      </rPr>
      <t>next to Title and enter the title of your project</t>
    </r>
  </si>
  <si>
    <r>
      <t xml:space="preserve">Your project start and end date should appear in </t>
    </r>
    <r>
      <rPr>
        <sz val="12"/>
        <color indexed="10"/>
        <rFont val="Times New Roman"/>
        <family val="1"/>
      </rPr>
      <t>red.</t>
    </r>
    <r>
      <rPr>
        <sz val="12"/>
        <rFont val="Times New Roman"/>
        <family val="0"/>
      </rPr>
      <t xml:space="preserve"> </t>
    </r>
  </si>
  <si>
    <r>
      <t xml:space="preserve"> They come from the </t>
    </r>
    <r>
      <rPr>
        <sz val="12"/>
        <color indexed="12"/>
        <rFont val="Times New Roman"/>
        <family val="1"/>
      </rPr>
      <t>dates</t>
    </r>
    <r>
      <rPr>
        <sz val="12"/>
        <rFont val="Times New Roman"/>
        <family val="0"/>
      </rPr>
      <t xml:space="preserve"> you entered on the Rates Worksheet</t>
    </r>
  </si>
  <si>
    <r>
      <t xml:space="preserve">Click on the second </t>
    </r>
    <r>
      <rPr>
        <sz val="12"/>
        <color indexed="12"/>
        <rFont val="Times New Roman"/>
        <family val="1"/>
      </rPr>
      <t xml:space="preserve">0% </t>
    </r>
    <r>
      <rPr>
        <sz val="12"/>
        <rFont val="Times New Roman"/>
        <family val="0"/>
      </rPr>
      <t>under effort and enter the percentage of time you will spend on the project during the recess year.</t>
    </r>
  </si>
  <si>
    <t>Exmpt Staff (Mnthly)/Non-AAUP Faculty</t>
  </si>
  <si>
    <t>Part-Time Faculty (&lt;65%)/Staff (&lt;80%)/Post Doc</t>
  </si>
  <si>
    <t>Exempt Staff (Monthly)</t>
  </si>
  <si>
    <t>Post Doctoral Support</t>
  </si>
  <si>
    <t>Non-Exempt Staff (Bi-Weekly)</t>
  </si>
  <si>
    <t>P-T Fac(&lt;65%)/Staff(&lt;80%)&amp;Post Doc</t>
  </si>
  <si>
    <t>Long Distance (Not Subject to Indirect)</t>
  </si>
  <si>
    <t xml:space="preserve">5 Year Budget </t>
  </si>
  <si>
    <t xml:space="preserve">Sub-Contract &lt;$25,000 3): </t>
  </si>
  <si>
    <t xml:space="preserve">Sub-Contract &lt;$25,000 4): </t>
  </si>
  <si>
    <t>3)</t>
  </si>
  <si>
    <t>4)</t>
  </si>
  <si>
    <t>Step 1:  MANDATORY</t>
  </si>
  <si>
    <t>Click on the first "-" under salary and enter the appropriate base salary at the expected time of the award.</t>
  </si>
  <si>
    <t>Fringe Benefit Base for Project Period</t>
  </si>
  <si>
    <t>Year 6</t>
  </si>
  <si>
    <t>Year 7</t>
  </si>
  <si>
    <t>App't Type</t>
  </si>
  <si>
    <t>UC Tuition rates (Not Subject to Indirect)</t>
  </si>
  <si>
    <t xml:space="preserve">Instructions for Federal projects </t>
  </si>
  <si>
    <t>From the drop down list, choose the base (starting year) fiscal year of the project.</t>
  </si>
  <si>
    <t>New</t>
  </si>
  <si>
    <t>Fiscal year dates:</t>
  </si>
  <si>
    <t>Click on the worksheet that agrees with the number years you are requesting the sponsor to fund</t>
  </si>
  <si>
    <r>
      <t xml:space="preserve">Click on the word </t>
    </r>
    <r>
      <rPr>
        <sz val="12"/>
        <color indexed="12"/>
        <rFont val="Times New Roman"/>
        <family val="1"/>
      </rPr>
      <t xml:space="preserve">name </t>
    </r>
    <r>
      <rPr>
        <sz val="12"/>
        <rFont val="Times New Roman"/>
        <family val="0"/>
      </rPr>
      <t xml:space="preserve">next to Principal Investigator (PI) and the PI's name </t>
    </r>
  </si>
  <si>
    <t>The appropriate salary increases for the same % of effort in subsequent years are automatically calculated in the spreadsheet.</t>
  </si>
  <si>
    <t>The recess base salary will be calculated automatically</t>
  </si>
  <si>
    <t>The amount will automatically calculate and be entered in the year 1 column</t>
  </si>
  <si>
    <r>
      <t>Enter the</t>
    </r>
    <r>
      <rPr>
        <sz val="12"/>
        <color indexed="12"/>
        <rFont val="Times New Roman"/>
        <family val="1"/>
      </rPr>
      <t xml:space="preserve"> </t>
    </r>
    <r>
      <rPr>
        <sz val="12"/>
        <rFont val="Times New Roman"/>
        <family val="1"/>
      </rPr>
      <t>name</t>
    </r>
    <r>
      <rPr>
        <sz val="12"/>
        <rFont val="Times New Roman"/>
        <family val="0"/>
      </rPr>
      <t xml:space="preserve"> of the Co-PI</t>
    </r>
  </si>
  <si>
    <t>If the Co-PI is on a 32 week appointment and eligible for Extra Compensation enter the percentage of time the CoPI will spend on the project during the recess period.</t>
  </si>
  <si>
    <t>Enter the percentage of time the Co PI will spend on the project during the academic period.</t>
  </si>
  <si>
    <r>
      <t xml:space="preserve">Click on the </t>
    </r>
    <r>
      <rPr>
        <sz val="12"/>
        <color indexed="12"/>
        <rFont val="Times New Roman"/>
        <family val="1"/>
      </rPr>
      <t xml:space="preserve">0% </t>
    </r>
    <r>
      <rPr>
        <sz val="12"/>
        <rFont val="Times New Roman"/>
        <family val="0"/>
      </rPr>
      <t>under effort and enter the percentage of time you will spend on the project during the academic period.</t>
    </r>
  </si>
  <si>
    <t>Add additional Co-PIs as appropriate</t>
  </si>
  <si>
    <t>Do not override any fringe or indirect cost entries</t>
  </si>
  <si>
    <t>The combination of your budget period dates and base fiscal year will be used to calculate the prorated fringe benefits for the budget.</t>
  </si>
  <si>
    <t>Determine if the CoPI(s) are on a 32 week (aka 9 month or academic year) or 12 month appointment (most College of Medicine faculty are on a 12 month appointment). Use the appropriate line(s) in Senior Personnel section for their type of Appointment.</t>
  </si>
  <si>
    <t xml:space="preserve">Facilities and Administrative Costs Calculation: </t>
  </si>
  <si>
    <t>Facilities and Administrative Cost Base:</t>
  </si>
  <si>
    <t xml:space="preserve">Total F&amp;A Cost : </t>
  </si>
  <si>
    <t xml:space="preserve">F&amp;A Cost (on MTDC): </t>
  </si>
  <si>
    <t>Facilities and Administrative Data</t>
  </si>
  <si>
    <t>Name</t>
  </si>
  <si>
    <t>Total Exempt Staff</t>
  </si>
  <si>
    <t>PM</t>
  </si>
  <si>
    <t>CAL</t>
  </si>
  <si>
    <t>ACAD</t>
  </si>
  <si>
    <t>Calendar</t>
  </si>
  <si>
    <t>Academic</t>
  </si>
  <si>
    <t>Please DO NOT change any information on this sheet.</t>
  </si>
  <si>
    <t>Effective Dates</t>
  </si>
  <si>
    <t>NIH Annual Limitation</t>
  </si>
  <si>
    <t>Limitation Based on 9 Month Appt.</t>
  </si>
  <si>
    <t xml:space="preserve">o  October 1, 1998 through December 31, 1999 </t>
  </si>
  <si>
    <t>NIH1</t>
  </si>
  <si>
    <t>o  January 1, 2000 and beyond</t>
  </si>
  <si>
    <t>FY 2000 Awards  (Executive Level II)</t>
  </si>
  <si>
    <t>NIH2</t>
  </si>
  <si>
    <t>o  October 1, 1999 through December 31, 1999</t>
  </si>
  <si>
    <t>NIH3</t>
  </si>
  <si>
    <t>NIH4</t>
  </si>
  <si>
    <t>FY 2001 Awards  (Executive Level I)</t>
  </si>
  <si>
    <t>NIH5</t>
  </si>
  <si>
    <t>o  October 1, 2000 through December 31, 2000</t>
  </si>
  <si>
    <t>NIH6</t>
  </si>
  <si>
    <t>o  January 1, 2001 though December 31, 2001</t>
  </si>
  <si>
    <t>NIH7</t>
  </si>
  <si>
    <t>o  January 1, 2002 through December 31, 2002</t>
  </si>
  <si>
    <t>NIH8</t>
  </si>
  <si>
    <t>o  January 1, 2003 through December 31, 2003</t>
  </si>
  <si>
    <t>NIH9</t>
  </si>
  <si>
    <t>o  January 1, 2004 - March 3, 2004</t>
  </si>
  <si>
    <t>o  March 2, 2004 through December 31, 2004</t>
  </si>
  <si>
    <t>NIH10</t>
  </si>
  <si>
    <t xml:space="preserve">o  January 1, 2005 and beyond </t>
  </si>
  <si>
    <t>NIH11</t>
  </si>
  <si>
    <t xml:space="preserve">o  January 1, 2006 and beyond </t>
  </si>
  <si>
    <t>NIH12</t>
  </si>
  <si>
    <t xml:space="preserve">o  January 1, 2007 and beyond </t>
  </si>
  <si>
    <t xml:space="preserve">The typical appointment for non-Medical College faculty is 32 weeks, usually referred to as "9 month" or "academic year". Per the AAUP agreement they may also earn an additional 14 weeks of salary during their recess period, typically the summer quarter. </t>
  </si>
  <si>
    <t>Enter 32 week salary base here</t>
  </si>
  <si>
    <t>recess period base</t>
  </si>
  <si>
    <t>Percent of Time &amp; Effort to Person Months (PM)</t>
  </si>
  <si>
    <t>Interactive Conversion Table for the University of Cincinnati</t>
  </si>
  <si>
    <t>EXC</t>
  </si>
  <si>
    <t>9 Month</t>
  </si>
  <si>
    <t>12 Month</t>
  </si>
  <si>
    <t>Recess</t>
  </si>
  <si>
    <t>Academic Year</t>
  </si>
  <si>
    <t>Calendar Year</t>
  </si>
  <si>
    <t xml:space="preserve">  % effort </t>
  </si>
  <si>
    <t xml:space="preserve">         PM</t>
  </si>
  <si>
    <t xml:space="preserve"> % effort</t>
  </si>
  <si>
    <t xml:space="preserve">  % effort</t>
  </si>
  <si>
    <t xml:space="preserve">        PM</t>
  </si>
  <si>
    <t>Instructions:</t>
  </si>
  <si>
    <t>To use the chart simply insert the percent effort that you want to convert into the -0- of the Recess % effort line and</t>
  </si>
  <si>
    <t>hit enter.  The person month 9 and 12 will be displayed simultaneously.</t>
  </si>
  <si>
    <t xml:space="preserve">There are three basic salary (wage) bases: Calendar Year, Academic Year and Summer (Recess) Term. Here is a month/week/days   </t>
  </si>
  <si>
    <t>breakout for each:</t>
  </si>
  <si>
    <t>Academic Year (AY)</t>
  </si>
  <si>
    <t>32 weeks</t>
  </si>
  <si>
    <t>EXC Recess</t>
  </si>
  <si>
    <t>14 weeks</t>
  </si>
  <si>
    <t xml:space="preserve">Calendar Year (CY) </t>
  </si>
  <si>
    <t>52 weeks</t>
  </si>
  <si>
    <t>To fill out the budget forms for the SF 424 R&amp;R grantees will need to convert percent-of-effort to person-months.  Below are</t>
  </si>
  <si>
    <t>a three examples of how person-months are applied:</t>
  </si>
  <si>
    <t>Example 1:</t>
  </si>
  <si>
    <t xml:space="preserve">A PI with EXC Recess at a salary of $27,563 ($63,000*(14/32). </t>
  </si>
  <si>
    <t>25% of EXC Recess effort would equate to 0.81 person-months (14 weeks x.25 effort/4.333 [average number of weeks per month]).</t>
  </si>
  <si>
    <t>The budget figure for that effort would be $6,891 (27,563 multiplied by .25 effort).</t>
  </si>
  <si>
    <t>Example 2:</t>
  </si>
  <si>
    <t xml:space="preserve">A PI on an AY appointment at a salary of $63,000.  </t>
  </si>
  <si>
    <t>25% of AY effort would equate to 1.85 person-months (32 weeks x.25 effort/4.333 [average number of weeks per month]).</t>
  </si>
  <si>
    <t>The budget figure for that effort would be $15,750 (63,000 multiplied by .25 effort).</t>
  </si>
  <si>
    <t>Example 3:</t>
  </si>
  <si>
    <t xml:space="preserve">A PI on an CY appointment at a salary of $72,000.  </t>
  </si>
  <si>
    <t>25% of CY effort would equate to 3.00 person-months (52 weeks x.25 effort/4.333 [average number of weeks per month]).</t>
  </si>
  <si>
    <t>The budget figure for that effort would be $18,000 (72,000 multiplied by .25 effort).</t>
  </si>
  <si>
    <t xml:space="preserve">Special F&amp;A Rate : </t>
  </si>
  <si>
    <t>Go to the "Indirect Data" section at the bottom of the worksheet and enter the indirect data relative to your project</t>
  </si>
  <si>
    <t>Change the letters/numbers in blue as appropriate</t>
  </si>
  <si>
    <t>Return to Row 4</t>
  </si>
  <si>
    <t xml:space="preserve">Academic and Recess cap together </t>
  </si>
  <si>
    <t>Sal</t>
  </si>
  <si>
    <t>FB</t>
  </si>
  <si>
    <t>Total</t>
  </si>
  <si>
    <t>Sub Totals</t>
  </si>
  <si>
    <t xml:space="preserve">4 Year Budget </t>
  </si>
  <si>
    <t xml:space="preserve">3 Year Budget </t>
  </si>
  <si>
    <t xml:space="preserve">2 Year Budget </t>
  </si>
  <si>
    <t xml:space="preserve">1 Year Budget </t>
  </si>
  <si>
    <t>FY18</t>
  </si>
  <si>
    <t>LAM</t>
  </si>
  <si>
    <t>FY19</t>
  </si>
  <si>
    <t>FY 18</t>
  </si>
  <si>
    <t>7/1/2017 - 6/30/18</t>
  </si>
  <si>
    <t>Indirect Cost Rates (on Campus)</t>
  </si>
  <si>
    <t>Research Indirect Costs</t>
  </si>
  <si>
    <t>Instruction Indirect Costs</t>
  </si>
  <si>
    <t>Public Service Indirect Costs</t>
  </si>
  <si>
    <t>Indirect Cost Rates (off Campus)</t>
  </si>
  <si>
    <t>Research F&amp;A</t>
  </si>
  <si>
    <t>Instruction F&amp;A</t>
  </si>
  <si>
    <t>PS F&amp;A</t>
  </si>
  <si>
    <t>Detailed F&amp;A figures for prorated rates</t>
  </si>
  <si>
    <t>*If both lines have the same rate, then just list as one line on forms.</t>
  </si>
  <si>
    <t xml:space="preserve">Fiscal Year : </t>
  </si>
  <si>
    <t xml:space="preserve">Fiscal Year Base Period : </t>
  </si>
  <si>
    <t>7/17-6/18</t>
  </si>
  <si>
    <t>7/18-6/19</t>
  </si>
  <si>
    <t>FY20</t>
  </si>
  <si>
    <t>FY 19</t>
  </si>
  <si>
    <t>FY 20</t>
  </si>
  <si>
    <t>Indirect Cost Rates (off Campus &amp; for Sub-Contracts $25,000 or less)</t>
  </si>
  <si>
    <t>Recess Cap</t>
  </si>
  <si>
    <t>`</t>
  </si>
  <si>
    <t>7/19-6/20</t>
  </si>
  <si>
    <t>FY21</t>
  </si>
  <si>
    <t>o  January 1, 2009 to December 31, 2009</t>
  </si>
  <si>
    <t>o  January 1, 2010 to December 23, 2011</t>
  </si>
  <si>
    <t>o  January 1, 2008 to December 31, 2008</t>
  </si>
  <si>
    <t>o  January 12, 2014 to January 10, 2015</t>
  </si>
  <si>
    <t>FY22</t>
  </si>
  <si>
    <t>FY 21</t>
  </si>
  <si>
    <t>7/1/2018 - 6/30/19</t>
  </si>
  <si>
    <t>7/1/2019 - 6/30/20</t>
  </si>
  <si>
    <t>7/1/2020 - 6/30/21</t>
  </si>
  <si>
    <t>7/20-6/21</t>
  </si>
  <si>
    <t>o  January 11, 2015 to January 09, 2016</t>
  </si>
  <si>
    <t>DHHS Salary Caps</t>
  </si>
  <si>
    <t>o  December 24, 2011 to January 11, 2014</t>
  </si>
  <si>
    <t>FY 22</t>
  </si>
  <si>
    <t>7/1/2021 - 6/30/22</t>
  </si>
  <si>
    <t>FY23</t>
  </si>
  <si>
    <t>7/21-6/22</t>
  </si>
  <si>
    <t>7/22-6/23</t>
  </si>
  <si>
    <t>FY24</t>
  </si>
  <si>
    <t>FY 23</t>
  </si>
  <si>
    <t>7/1/2016 - 6/30/18</t>
  </si>
  <si>
    <t>o  January 10, 2016 to January 7, 2017</t>
  </si>
  <si>
    <t xml:space="preserve">o  January 8, 2017 and beyond </t>
  </si>
  <si>
    <t>Last Revised: 3/20/17</t>
  </si>
  <si>
    <t>Exmpt Staff (Mnthly)/</t>
  </si>
  <si>
    <t>Dual Comp Faculty</t>
  </si>
  <si>
    <t>FY 24</t>
  </si>
  <si>
    <t>7/1/2017 - 6/30/19</t>
  </si>
  <si>
    <t>7/23-6/24</t>
  </si>
  <si>
    <t>B</t>
  </si>
  <si>
    <t>Dual Compensation Faculty</t>
  </si>
  <si>
    <t>C.</t>
  </si>
  <si>
    <t>AAUP Faculty</t>
  </si>
  <si>
    <t xml:space="preserve">AAUP Faculty Subtotal : </t>
  </si>
  <si>
    <t xml:space="preserve">Dual Comp Faculty Subtotal : </t>
  </si>
  <si>
    <t>Data Validation list</t>
  </si>
  <si>
    <t>Last Revised: 2/13/18</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</si>
</sst>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Red]\-General_)"/>
    <numFmt numFmtId="165" formatCode="mm/dd/yy_)"/>
    <numFmt numFmtId="166" formatCode="0.00%;[Red]\-0.00%"/>
    <numFmt numFmtId="167" formatCode="_(* #,##0.0_);_(* \(#,##0.0\);_(* &quot;-&quot;??_);_(@_)"/>
    <numFmt numFmtId="168" formatCode="_(* #,##0_);_(* \(#,##0\);_(* &quot;-&quot;??_);_(@_)"/>
    <numFmt numFmtId="169" formatCode="_(&quot;$&quot;* #,##0.0_);_(&quot;$&quot;* \(#,##0.0\);_(&quot;$&quot;* &quot;-&quot;??_);_(@_)"/>
    <numFmt numFmtId="170" formatCode="_(&quot;$&quot;* #,##0_);_(&quot;$&quot;* \(#,##0\);_(&quot;$&quot;* &quot;-&quot;??_);_(@_)"/>
    <numFmt numFmtId="171" formatCode="0.0%"/>
    <numFmt numFmtId="172" formatCode="0.0000%"/>
    <numFmt numFmtId="173" formatCode="0.000%"/>
    <numFmt numFmtId="174" formatCode="mm/dd/yy"/>
    <numFmt numFmtId="175" formatCode="mm/dd/yy\ h:mm"/>
    <numFmt numFmtId="176" formatCode="General_)"/>
    <numFmt numFmtId="177" formatCode="0.00_)"/>
    <numFmt numFmtId="178" formatCode="00"/>
    <numFmt numFmtId="179" formatCode="mm/dd/yy\ h:mm:ss"/>
    <numFmt numFmtId="180" formatCode="&quot;$&quot;#,##0"/>
    <numFmt numFmtId="181" formatCode="0.000"/>
    <numFmt numFmtId="182" formatCode="0.000_)"/>
    <numFmt numFmtId="183" formatCode="_(* #,##0.00000_);_(* \(#,##0.00000\);_(* &quot;-&quot;?????_);_(@_)"/>
    <numFmt numFmtId="184" formatCode="&quot;(&quot;\ &quot;$&quot;\ #,##0.00\ &quot;/ hour )&quot;"/>
    <numFmt numFmtId="185" formatCode="[$-409]dddd\,\ mmmm\ dd\,\ yyyy"/>
    <numFmt numFmtId="186" formatCode="mm/dd/yy;@"/>
    <numFmt numFmtId="187" formatCode="m/d/yy;@"/>
    <numFmt numFmtId="188" formatCode="&quot;Yes&quot;;&quot;Yes&quot;;&quot;No&quot;"/>
    <numFmt numFmtId="189" formatCode="&quot;True&quot;;&quot;True&quot;;&quot;False&quot;"/>
    <numFmt numFmtId="190" formatCode="&quot;On&quot;;&quot;On&quot;;&quot;Off&quot;"/>
    <numFmt numFmtId="191" formatCode="[$€-2]\ #,##0.00_);[Red]\([$€-2]\ #,##0.00\)"/>
    <numFmt numFmtId="192" formatCode="mmm\-yyyy"/>
    <numFmt numFmtId="193" formatCode="0.0_)"/>
    <numFmt numFmtId="194" formatCode="#,##0.0_);\(#,##0.0\)"/>
    <numFmt numFmtId="195" formatCode="0.0000000"/>
    <numFmt numFmtId="196" formatCode="0.000000"/>
    <numFmt numFmtId="197" formatCode="0.00000"/>
    <numFmt numFmtId="198" formatCode="0.0000"/>
    <numFmt numFmtId="199" formatCode="0.0"/>
    <numFmt numFmtId="200" formatCode="#,##0.0_);[Red]\(#,##0.0\)"/>
  </numFmts>
  <fonts count="106">
    <font>
      <sz val="12"/>
      <name val="Times New Roman"/>
      <family val="0"/>
    </font>
    <font>
      <b/>
      <sz val="10"/>
      <name val="Arial"/>
      <family val="0"/>
    </font>
    <font>
      <i/>
      <sz val="10"/>
      <name val="Arial"/>
      <family val="0"/>
    </font>
    <font>
      <b/>
      <i/>
      <sz val="10"/>
      <name val="Arial"/>
      <family val="0"/>
    </font>
    <font>
      <sz val="10"/>
      <name val="Arial"/>
      <family val="2"/>
    </font>
    <font>
      <sz val="12"/>
      <color indexed="12"/>
      <name val="Times New Roman"/>
      <family val="1"/>
    </font>
    <font>
      <b/>
      <sz val="14"/>
      <name val="Times New Roman"/>
      <family val="1"/>
    </font>
    <font>
      <b/>
      <sz val="12"/>
      <name val="Times New Roman"/>
      <family val="1"/>
    </font>
    <font>
      <u val="single"/>
      <sz val="12"/>
      <name val="Times New Roman"/>
      <family val="1"/>
    </font>
    <font>
      <i/>
      <sz val="12"/>
      <name val="Times New Roman"/>
      <family val="1"/>
    </font>
    <font>
      <b/>
      <i/>
      <sz val="12"/>
      <name val="Times New Roman"/>
      <family val="1"/>
    </font>
    <font>
      <b/>
      <u val="single"/>
      <sz val="12"/>
      <name val="Times New Roman"/>
      <family val="1"/>
    </font>
    <font>
      <b/>
      <u val="single"/>
      <sz val="14"/>
      <name val="Times New Roman"/>
      <family val="1"/>
    </font>
    <font>
      <sz val="12"/>
      <name val="Arial"/>
      <family val="2"/>
    </font>
    <font>
      <b/>
      <sz val="12"/>
      <name val="Arial"/>
      <family val="2"/>
    </font>
    <font>
      <sz val="11"/>
      <name val="Times New Roman"/>
      <family val="1"/>
    </font>
    <font>
      <b/>
      <sz val="13"/>
      <name val="Arial"/>
      <family val="2"/>
    </font>
    <font>
      <sz val="11"/>
      <color indexed="12"/>
      <name val="Times New Roman"/>
      <family val="1"/>
    </font>
    <font>
      <sz val="12"/>
      <color indexed="10"/>
      <name val="Times New Roman"/>
      <family val="1"/>
    </font>
    <font>
      <i/>
      <sz val="12"/>
      <color indexed="12"/>
      <name val="Times New Roman"/>
      <family val="1"/>
    </font>
    <font>
      <sz val="10"/>
      <color indexed="12"/>
      <name val="Arial"/>
      <family val="2"/>
    </font>
    <font>
      <b/>
      <sz val="14"/>
      <color indexed="10"/>
      <name val="Times New Roman"/>
      <family val="1"/>
    </font>
    <font>
      <u val="single"/>
      <sz val="7.5"/>
      <color indexed="36"/>
      <name val="Courier"/>
      <family val="3"/>
    </font>
    <font>
      <u val="single"/>
      <sz val="7.5"/>
      <color indexed="12"/>
      <name val="Courier"/>
      <family val="3"/>
    </font>
    <font>
      <sz val="12"/>
      <name val="SWISS"/>
      <family val="0"/>
    </font>
    <font>
      <sz val="10"/>
      <name val="Tahoma"/>
      <family val="2"/>
    </font>
    <font>
      <i/>
      <sz val="14"/>
      <name val="Brush Script MT"/>
      <family val="4"/>
    </font>
    <font>
      <b/>
      <sz val="12"/>
      <color indexed="14"/>
      <name val="Arial"/>
      <family val="2"/>
    </font>
    <font>
      <sz val="12"/>
      <color indexed="8"/>
      <name val="Arial"/>
      <family val="2"/>
    </font>
    <font>
      <sz val="12"/>
      <color indexed="10"/>
      <name val="SWISS"/>
      <family val="0"/>
    </font>
    <font>
      <sz val="8"/>
      <name val="Times New Roman"/>
      <family val="1"/>
    </font>
    <font>
      <sz val="10"/>
      <name val="MS Sans Serif"/>
      <family val="2"/>
    </font>
    <font>
      <sz val="8"/>
      <name val="Courier"/>
      <family val="3"/>
    </font>
    <font>
      <b/>
      <u val="single"/>
      <sz val="12"/>
      <color indexed="56"/>
      <name val="Times New Roman"/>
      <family val="1"/>
    </font>
    <font>
      <b/>
      <sz val="12"/>
      <color indexed="56"/>
      <name val="Times New Roman"/>
      <family val="1"/>
    </font>
    <font>
      <b/>
      <sz val="12"/>
      <color indexed="50"/>
      <name val="Times New Roman"/>
      <family val="1"/>
    </font>
    <font>
      <b/>
      <sz val="12"/>
      <color indexed="8"/>
      <name val="Times New Roman"/>
      <family val="1"/>
    </font>
    <font>
      <b/>
      <sz val="12"/>
      <name val="Tahoma"/>
      <family val="2"/>
    </font>
    <font>
      <b/>
      <sz val="10"/>
      <name val="Tahoma"/>
      <family val="2"/>
    </font>
    <font>
      <sz val="9"/>
      <color indexed="20"/>
      <name val="Arial"/>
      <family val="2"/>
    </font>
    <font>
      <sz val="9"/>
      <name val="Arial"/>
      <family val="2"/>
    </font>
    <font>
      <u val="single"/>
      <sz val="9"/>
      <color indexed="20"/>
      <name val="Arial"/>
      <family val="2"/>
    </font>
    <font>
      <b/>
      <sz val="9"/>
      <name val="Arial"/>
      <family val="2"/>
    </font>
    <font>
      <b/>
      <sz val="9"/>
      <color indexed="10"/>
      <name val="Arial"/>
      <family val="2"/>
    </font>
    <font>
      <sz val="9"/>
      <name val="Times New Roman"/>
      <family val="1"/>
    </font>
    <font>
      <sz val="8"/>
      <name val="Arial"/>
      <family val="2"/>
    </font>
    <font>
      <sz val="12"/>
      <color indexed="9"/>
      <name val="Times New Roman"/>
      <family val="1"/>
    </font>
    <font>
      <b/>
      <sz val="10"/>
      <name val="Courier"/>
      <family val="3"/>
    </font>
    <font>
      <sz val="10"/>
      <name val="Courier"/>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10"/>
      <name val="Times New Roman"/>
      <family val="1"/>
    </font>
    <font>
      <sz val="12"/>
      <color indexed="10"/>
      <name val="Arial"/>
      <family val="2"/>
    </font>
    <font>
      <b/>
      <sz val="12"/>
      <color indexed="10"/>
      <name val="Arial"/>
      <family val="2"/>
    </font>
    <font>
      <b/>
      <sz val="13"/>
      <color indexed="10"/>
      <name val="Arial"/>
      <family val="2"/>
    </font>
    <font>
      <sz val="10"/>
      <color indexed="10"/>
      <name val="Arial"/>
      <family val="2"/>
    </font>
    <font>
      <sz val="12"/>
      <color indexed="17"/>
      <name val="Times New Roman"/>
      <family val="1"/>
    </font>
    <font>
      <sz val="12"/>
      <color indexed="17"/>
      <name val="Arial"/>
      <family val="2"/>
    </font>
    <font>
      <b/>
      <sz val="12"/>
      <color indexed="17"/>
      <name val="Times New Roman"/>
      <family val="1"/>
    </font>
    <font>
      <b/>
      <sz val="12"/>
      <color indexed="17"/>
      <name val="Arial"/>
      <family val="2"/>
    </font>
    <font>
      <b/>
      <sz val="13"/>
      <color indexed="17"/>
      <name val="Arial"/>
      <family val="2"/>
    </font>
    <font>
      <sz val="10"/>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b/>
      <sz val="12"/>
      <color rgb="FFFF0000"/>
      <name val="Times New Roman"/>
      <family val="1"/>
    </font>
    <font>
      <sz val="12"/>
      <color rgb="FFFF0000"/>
      <name val="Arial"/>
      <family val="2"/>
    </font>
    <font>
      <b/>
      <sz val="12"/>
      <color rgb="FFFF0000"/>
      <name val="Arial"/>
      <family val="2"/>
    </font>
    <font>
      <b/>
      <sz val="13"/>
      <color rgb="FFFF0000"/>
      <name val="Arial"/>
      <family val="2"/>
    </font>
    <font>
      <sz val="10"/>
      <color rgb="FFFF0000"/>
      <name val="Arial"/>
      <family val="2"/>
    </font>
    <font>
      <sz val="12"/>
      <color rgb="FF006600"/>
      <name val="Times New Roman"/>
      <family val="1"/>
    </font>
    <font>
      <sz val="12"/>
      <color rgb="FF006600"/>
      <name val="Arial"/>
      <family val="2"/>
    </font>
    <font>
      <b/>
      <sz val="12"/>
      <color rgb="FF006600"/>
      <name val="Times New Roman"/>
      <family val="1"/>
    </font>
    <font>
      <b/>
      <sz val="12"/>
      <color rgb="FF006600"/>
      <name val="Arial"/>
      <family val="2"/>
    </font>
    <font>
      <b/>
      <sz val="13"/>
      <color rgb="FF006600"/>
      <name val="Arial"/>
      <family val="2"/>
    </font>
    <font>
      <sz val="10"/>
      <color rgb="FF006600"/>
      <name val="Arial"/>
      <family val="2"/>
    </font>
    <font>
      <b/>
      <sz val="8"/>
      <name val="Times New Roman"/>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4" fillId="0" borderId="0">
      <alignment/>
      <protection/>
    </xf>
    <xf numFmtId="41" fontId="4" fillId="0" borderId="0" applyFont="0" applyFill="0" applyBorder="0" applyAlignment="0" applyProtection="0"/>
    <xf numFmtId="43" fontId="4" fillId="0" borderId="0">
      <alignment/>
      <protection/>
    </xf>
    <xf numFmtId="40" fontId="31" fillId="0" borderId="0" applyFont="0" applyFill="0" applyBorder="0" applyAlignment="0" applyProtection="0"/>
    <xf numFmtId="40" fontId="31"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8" fontId="31" fillId="0" borderId="0" applyFont="0" applyFill="0" applyBorder="0" applyAlignment="0" applyProtection="0"/>
    <xf numFmtId="0" fontId="81" fillId="0" borderId="0" applyNumberFormat="0" applyFill="0" applyBorder="0" applyAlignment="0" applyProtection="0"/>
    <xf numFmtId="0" fontId="22"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23"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0" borderId="0">
      <alignment/>
      <protection/>
    </xf>
    <xf numFmtId="176" fontId="48" fillId="0" borderId="0">
      <alignment/>
      <protection/>
    </xf>
    <xf numFmtId="0" fontId="24" fillId="0" borderId="0">
      <alignment/>
      <protection/>
    </xf>
    <xf numFmtId="0" fontId="0" fillId="0" borderId="0">
      <alignment/>
      <protection/>
    </xf>
    <xf numFmtId="0" fontId="24" fillId="0" borderId="0">
      <alignment/>
      <protection/>
    </xf>
    <xf numFmtId="0" fontId="4" fillId="0" borderId="0">
      <alignment/>
      <protection/>
    </xf>
    <xf numFmtId="0" fontId="0" fillId="32" borderId="7" applyNumberFormat="0" applyFont="0" applyAlignment="0" applyProtection="0"/>
    <xf numFmtId="0" fontId="89" fillId="27"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31"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336">
    <xf numFmtId="0" fontId="0" fillId="0" borderId="0" xfId="0" applyAlignment="1">
      <alignment/>
    </xf>
    <xf numFmtId="164" fontId="0" fillId="0" borderId="0" xfId="0" applyNumberFormat="1" applyAlignment="1" applyProtection="1">
      <alignment/>
      <protection/>
    </xf>
    <xf numFmtId="6" fontId="0" fillId="0" borderId="0" xfId="0" applyNumberFormat="1" applyAlignment="1" applyProtection="1">
      <alignment/>
      <protection/>
    </xf>
    <xf numFmtId="0" fontId="5" fillId="0" borderId="0" xfId="0" applyFont="1" applyAlignment="1" applyProtection="1">
      <alignment/>
      <protection locked="0"/>
    </xf>
    <xf numFmtId="165" fontId="0" fillId="0" borderId="0" xfId="0" applyNumberFormat="1" applyAlignment="1" applyProtection="1">
      <alignment/>
      <protection/>
    </xf>
    <xf numFmtId="38" fontId="0" fillId="0" borderId="0" xfId="0" applyNumberFormat="1" applyAlignment="1" applyProtection="1">
      <alignment/>
      <protection/>
    </xf>
    <xf numFmtId="37" fontId="0" fillId="0" borderId="0" xfId="0" applyNumberFormat="1" applyAlignment="1" applyProtection="1">
      <alignment/>
      <protection/>
    </xf>
    <xf numFmtId="166" fontId="0" fillId="0" borderId="0" xfId="0" applyNumberFormat="1" applyAlignment="1" applyProtection="1">
      <alignment/>
      <protection/>
    </xf>
    <xf numFmtId="5" fontId="0" fillId="0" borderId="0" xfId="0" applyNumberFormat="1" applyAlignment="1" applyProtection="1">
      <alignment/>
      <protection/>
    </xf>
    <xf numFmtId="10" fontId="5" fillId="0" borderId="0" xfId="0" applyNumberFormat="1" applyFont="1" applyAlignment="1" applyProtection="1">
      <alignment/>
      <protection locked="0"/>
    </xf>
    <xf numFmtId="0" fontId="5" fillId="0" borderId="0" xfId="0" applyFont="1" applyAlignment="1" applyProtection="1">
      <alignment horizontal="left"/>
      <protection locked="0"/>
    </xf>
    <xf numFmtId="6" fontId="0" fillId="0" borderId="0" xfId="0" applyNumberFormat="1" applyAlignment="1" applyProtection="1">
      <alignment horizontal="center"/>
      <protection/>
    </xf>
    <xf numFmtId="0" fontId="0" fillId="0" borderId="0" xfId="0" applyAlignment="1">
      <alignment horizontal="center"/>
    </xf>
    <xf numFmtId="164" fontId="0" fillId="0" borderId="0" xfId="0" applyNumberFormat="1" applyAlignment="1" applyProtection="1">
      <alignment horizontal="left"/>
      <protection/>
    </xf>
    <xf numFmtId="0" fontId="0" fillId="0" borderId="0" xfId="0" applyAlignment="1">
      <alignment horizontal="left"/>
    </xf>
    <xf numFmtId="0" fontId="5" fillId="0" borderId="0" xfId="0" applyFont="1" applyAlignment="1" applyProtection="1">
      <alignment horizontal="center"/>
      <protection locked="0"/>
    </xf>
    <xf numFmtId="6" fontId="0" fillId="0" borderId="0" xfId="0" applyNumberFormat="1" applyAlignment="1" applyProtection="1">
      <alignment horizontal="left"/>
      <protection/>
    </xf>
    <xf numFmtId="164" fontId="6" fillId="0" borderId="0" xfId="0" applyNumberFormat="1" applyFont="1" applyAlignment="1" applyProtection="1">
      <alignment horizontal="centerContinuous"/>
      <protection/>
    </xf>
    <xf numFmtId="164" fontId="0" fillId="0" borderId="0" xfId="0" applyNumberFormat="1" applyAlignment="1" applyProtection="1">
      <alignment horizontal="centerContinuous"/>
      <protection/>
    </xf>
    <xf numFmtId="6" fontId="0" fillId="0" borderId="0" xfId="0" applyNumberFormat="1" applyAlignment="1" applyProtection="1">
      <alignment horizontal="centerContinuous"/>
      <protection/>
    </xf>
    <xf numFmtId="0" fontId="7" fillId="0" borderId="0" xfId="0" applyFont="1" applyAlignment="1">
      <alignment horizontal="right"/>
    </xf>
    <xf numFmtId="164" fontId="7" fillId="0" borderId="0" xfId="0" applyNumberFormat="1" applyFont="1" applyAlignment="1" applyProtection="1">
      <alignment/>
      <protection/>
    </xf>
    <xf numFmtId="164" fontId="7" fillId="0" borderId="0" xfId="0" applyNumberFormat="1" applyFont="1" applyAlignment="1" applyProtection="1">
      <alignment horizontal="left"/>
      <protection/>
    </xf>
    <xf numFmtId="164" fontId="8" fillId="0" borderId="0" xfId="0" applyNumberFormat="1" applyFont="1" applyAlignment="1" applyProtection="1">
      <alignment horizontal="left"/>
      <protection/>
    </xf>
    <xf numFmtId="164" fontId="8" fillId="0" borderId="0" xfId="0" applyNumberFormat="1" applyFont="1" applyAlignment="1" applyProtection="1">
      <alignment/>
      <protection/>
    </xf>
    <xf numFmtId="164" fontId="9" fillId="0" borderId="0" xfId="0" applyNumberFormat="1" applyFont="1" applyAlignment="1" applyProtection="1">
      <alignment horizontal="right"/>
      <protection/>
    </xf>
    <xf numFmtId="164" fontId="9" fillId="0" borderId="0" xfId="0" applyNumberFormat="1" applyFont="1" applyAlignment="1" applyProtection="1">
      <alignment/>
      <protection/>
    </xf>
    <xf numFmtId="164" fontId="10" fillId="0" borderId="0" xfId="0" applyNumberFormat="1" applyFont="1" applyAlignment="1" applyProtection="1">
      <alignment horizontal="right"/>
      <protection/>
    </xf>
    <xf numFmtId="164" fontId="10" fillId="0" borderId="0" xfId="0" applyNumberFormat="1" applyFont="1" applyAlignment="1" applyProtection="1">
      <alignment/>
      <protection/>
    </xf>
    <xf numFmtId="37" fontId="7" fillId="0" borderId="0" xfId="0" applyNumberFormat="1" applyFont="1" applyAlignment="1" applyProtection="1">
      <alignment/>
      <protection/>
    </xf>
    <xf numFmtId="0" fontId="9" fillId="0" borderId="0" xfId="0" applyFont="1" applyAlignment="1">
      <alignment/>
    </xf>
    <xf numFmtId="0" fontId="7" fillId="0" borderId="0" xfId="0" applyFont="1" applyAlignment="1">
      <alignment/>
    </xf>
    <xf numFmtId="164" fontId="10" fillId="0" borderId="0" xfId="0" applyNumberFormat="1" applyFont="1" applyAlignment="1" applyProtection="1">
      <alignment horizontal="centerContinuous"/>
      <protection/>
    </xf>
    <xf numFmtId="164" fontId="11" fillId="0" borderId="0" xfId="0" applyNumberFormat="1" applyFont="1" applyAlignment="1" applyProtection="1">
      <alignment horizontal="left"/>
      <protection/>
    </xf>
    <xf numFmtId="38" fontId="7" fillId="0" borderId="0" xfId="0" applyNumberFormat="1" applyFont="1" applyAlignment="1" applyProtection="1">
      <alignment/>
      <protection/>
    </xf>
    <xf numFmtId="0" fontId="10" fillId="0" borderId="0" xfId="0" applyFont="1" applyAlignment="1">
      <alignment/>
    </xf>
    <xf numFmtId="0" fontId="11" fillId="0" borderId="0" xfId="0" applyFont="1" applyAlignment="1">
      <alignment horizontal="left"/>
    </xf>
    <xf numFmtId="5" fontId="0" fillId="0" borderId="0" xfId="0" applyNumberFormat="1" applyAlignment="1" applyProtection="1">
      <alignment horizontal="centerContinuous"/>
      <protection/>
    </xf>
    <xf numFmtId="6" fontId="6" fillId="0" borderId="0" xfId="0" applyNumberFormat="1" applyFont="1" applyAlignment="1" applyProtection="1">
      <alignment horizontal="left"/>
      <protection/>
    </xf>
    <xf numFmtId="164" fontId="7" fillId="0" borderId="0" xfId="0" applyNumberFormat="1" applyFont="1" applyAlignment="1" applyProtection="1">
      <alignment horizontal="centerContinuous"/>
      <protection/>
    </xf>
    <xf numFmtId="164" fontId="10" fillId="0" borderId="0" xfId="0" applyNumberFormat="1" applyFont="1" applyAlignment="1" applyProtection="1">
      <alignment horizontal="left"/>
      <protection/>
    </xf>
    <xf numFmtId="164" fontId="0" fillId="0" borderId="0" xfId="0" applyNumberFormat="1" applyAlignment="1" applyProtection="1">
      <alignment horizontal="center"/>
      <protection/>
    </xf>
    <xf numFmtId="168" fontId="13" fillId="0" borderId="0" xfId="42" applyNumberFormat="1" applyFont="1">
      <alignment/>
      <protection/>
    </xf>
    <xf numFmtId="168" fontId="13" fillId="0" borderId="10" xfId="42" applyNumberFormat="1" applyFont="1" applyBorder="1">
      <alignment/>
      <protection/>
    </xf>
    <xf numFmtId="38" fontId="14" fillId="0" borderId="0" xfId="0" applyNumberFormat="1" applyFont="1" applyAlignment="1" applyProtection="1">
      <alignment/>
      <protection/>
    </xf>
    <xf numFmtId="38" fontId="13" fillId="0" borderId="0" xfId="0" applyNumberFormat="1" applyFont="1" applyAlignment="1" applyProtection="1">
      <alignment horizontal="left"/>
      <protection/>
    </xf>
    <xf numFmtId="37" fontId="13" fillId="0" borderId="0" xfId="0" applyNumberFormat="1" applyFont="1" applyAlignment="1" applyProtection="1">
      <alignment/>
      <protection/>
    </xf>
    <xf numFmtId="168" fontId="14" fillId="0" borderId="0" xfId="42" applyNumberFormat="1" applyFont="1" applyProtection="1">
      <alignment/>
      <protection/>
    </xf>
    <xf numFmtId="37" fontId="14" fillId="0" borderId="0" xfId="0" applyNumberFormat="1" applyFont="1" applyAlignment="1" applyProtection="1">
      <alignment/>
      <protection/>
    </xf>
    <xf numFmtId="6" fontId="13" fillId="0" borderId="0" xfId="0" applyNumberFormat="1" applyFont="1" applyAlignment="1" applyProtection="1">
      <alignment/>
      <protection/>
    </xf>
    <xf numFmtId="38" fontId="13" fillId="0" borderId="0" xfId="0" applyNumberFormat="1" applyFont="1" applyAlignment="1" applyProtection="1">
      <alignment/>
      <protection/>
    </xf>
    <xf numFmtId="168" fontId="13" fillId="0" borderId="11" xfId="42" applyNumberFormat="1" applyFont="1" applyBorder="1" applyProtection="1">
      <alignment/>
      <protection/>
    </xf>
    <xf numFmtId="168" fontId="13" fillId="0" borderId="0" xfId="42" applyNumberFormat="1" applyFont="1" applyProtection="1">
      <alignment/>
      <protection/>
    </xf>
    <xf numFmtId="168" fontId="14" fillId="0" borderId="11" xfId="42" applyNumberFormat="1" applyFont="1" applyBorder="1" applyProtection="1">
      <alignment/>
      <protection/>
    </xf>
    <xf numFmtId="168" fontId="13" fillId="0" borderId="0" xfId="42" applyNumberFormat="1" applyFont="1" applyAlignment="1" applyProtection="1">
      <alignment horizontal="left"/>
      <protection/>
    </xf>
    <xf numFmtId="168" fontId="14" fillId="0" borderId="10" xfId="42" applyNumberFormat="1" applyFont="1" applyBorder="1">
      <alignment/>
      <protection/>
    </xf>
    <xf numFmtId="0" fontId="13" fillId="0" borderId="0" xfId="0" applyFont="1" applyAlignment="1">
      <alignment/>
    </xf>
    <xf numFmtId="164" fontId="13" fillId="0" borderId="0" xfId="0" applyNumberFormat="1" applyFont="1" applyAlignment="1" applyProtection="1">
      <alignment/>
      <protection/>
    </xf>
    <xf numFmtId="5" fontId="13" fillId="0" borderId="0" xfId="0" applyNumberFormat="1" applyFont="1" applyAlignment="1" applyProtection="1">
      <alignment/>
      <protection/>
    </xf>
    <xf numFmtId="170" fontId="15" fillId="0" borderId="0" xfId="47" applyNumberFormat="1" applyFont="1" applyAlignment="1">
      <alignment/>
    </xf>
    <xf numFmtId="164" fontId="12" fillId="0" borderId="0" xfId="0" applyNumberFormat="1" applyFont="1" applyAlignment="1" applyProtection="1">
      <alignment/>
      <protection/>
    </xf>
    <xf numFmtId="168" fontId="14" fillId="0" borderId="0" xfId="42" applyNumberFormat="1" applyFont="1" applyBorder="1" applyProtection="1">
      <alignment/>
      <protection/>
    </xf>
    <xf numFmtId="38" fontId="14" fillId="0" borderId="0" xfId="0" applyNumberFormat="1" applyFont="1" applyBorder="1" applyAlignment="1" applyProtection="1">
      <alignment/>
      <protection/>
    </xf>
    <xf numFmtId="164" fontId="7" fillId="0" borderId="0" xfId="0" applyNumberFormat="1" applyFont="1" applyAlignment="1" applyProtection="1">
      <alignment horizontal="right"/>
      <protection/>
    </xf>
    <xf numFmtId="43" fontId="13" fillId="0" borderId="0" xfId="42" applyFont="1">
      <alignment/>
      <protection/>
    </xf>
    <xf numFmtId="38" fontId="16" fillId="0" borderId="0" xfId="0" applyNumberFormat="1" applyFont="1" applyAlignment="1" applyProtection="1">
      <alignment/>
      <protection/>
    </xf>
    <xf numFmtId="168" fontId="16" fillId="0" borderId="0" xfId="42" applyNumberFormat="1" applyFont="1">
      <alignment/>
      <protection/>
    </xf>
    <xf numFmtId="168" fontId="13" fillId="0" borderId="0" xfId="0" applyNumberFormat="1" applyFont="1" applyAlignment="1" applyProtection="1">
      <alignment/>
      <protection/>
    </xf>
    <xf numFmtId="10" fontId="0" fillId="0" borderId="0" xfId="70" applyNumberFormat="1" applyFont="1" applyAlignment="1">
      <alignment/>
    </xf>
    <xf numFmtId="170" fontId="17" fillId="0" borderId="0" xfId="47" applyNumberFormat="1" applyFont="1" applyAlignment="1">
      <alignment/>
    </xf>
    <xf numFmtId="10" fontId="5" fillId="0" borderId="0" xfId="70" applyNumberFormat="1" applyFont="1" applyAlignment="1">
      <alignment/>
    </xf>
    <xf numFmtId="0" fontId="18" fillId="0" borderId="0" xfId="0" applyFont="1" applyAlignment="1">
      <alignment/>
    </xf>
    <xf numFmtId="38" fontId="16" fillId="0" borderId="12" xfId="0" applyNumberFormat="1" applyFont="1" applyBorder="1" applyAlignment="1" applyProtection="1">
      <alignment/>
      <protection/>
    </xf>
    <xf numFmtId="165" fontId="18" fillId="0" borderId="0" xfId="0" applyNumberFormat="1" applyFont="1" applyAlignment="1" applyProtection="1">
      <alignment/>
      <protection/>
    </xf>
    <xf numFmtId="168" fontId="20" fillId="0" borderId="0" xfId="42" applyNumberFormat="1" applyFont="1">
      <alignment/>
      <protection/>
    </xf>
    <xf numFmtId="38" fontId="0" fillId="0" borderId="0" xfId="0" applyNumberFormat="1" applyAlignment="1">
      <alignment/>
    </xf>
    <xf numFmtId="168" fontId="0" fillId="0" borderId="0" xfId="0" applyNumberFormat="1" applyAlignment="1">
      <alignment/>
    </xf>
    <xf numFmtId="0" fontId="21" fillId="0" borderId="0" xfId="0" applyFont="1" applyAlignment="1">
      <alignment/>
    </xf>
    <xf numFmtId="0" fontId="0" fillId="0" borderId="0" xfId="65">
      <alignment/>
      <protection/>
    </xf>
    <xf numFmtId="0" fontId="5" fillId="0" borderId="0" xfId="65" applyFont="1" applyAlignment="1">
      <alignment horizontal="center"/>
      <protection/>
    </xf>
    <xf numFmtId="165" fontId="0" fillId="0" borderId="0" xfId="65" applyNumberFormat="1" applyProtection="1">
      <alignment/>
      <protection/>
    </xf>
    <xf numFmtId="0" fontId="0" fillId="0" borderId="0" xfId="65" applyAlignment="1">
      <alignment horizontal="center"/>
      <protection/>
    </xf>
    <xf numFmtId="0" fontId="0" fillId="0" borderId="0" xfId="65" applyAlignment="1">
      <alignment horizontal="left"/>
      <protection/>
    </xf>
    <xf numFmtId="10" fontId="0" fillId="0" borderId="0" xfId="65" applyNumberFormat="1" applyProtection="1">
      <alignment/>
      <protection/>
    </xf>
    <xf numFmtId="37" fontId="0" fillId="0" borderId="0" xfId="65" applyNumberFormat="1" applyProtection="1">
      <alignment/>
      <protection/>
    </xf>
    <xf numFmtId="10" fontId="0" fillId="0" borderId="0" xfId="65" applyNumberFormat="1" applyAlignment="1" applyProtection="1">
      <alignment horizontal="center"/>
      <protection/>
    </xf>
    <xf numFmtId="0" fontId="24" fillId="0" borderId="0" xfId="64" applyFont="1" applyAlignment="1">
      <alignment horizontal="right"/>
      <protection/>
    </xf>
    <xf numFmtId="0" fontId="24" fillId="0" borderId="0" xfId="64">
      <alignment/>
      <protection/>
    </xf>
    <xf numFmtId="14" fontId="0" fillId="0" borderId="0" xfId="65" applyNumberFormat="1">
      <alignment/>
      <protection/>
    </xf>
    <xf numFmtId="0" fontId="26" fillId="33" borderId="0" xfId="0" applyFont="1" applyFill="1" applyAlignment="1">
      <alignment horizontal="center"/>
    </xf>
    <xf numFmtId="0" fontId="0" fillId="0" borderId="0" xfId="0" applyAlignment="1">
      <alignment wrapText="1"/>
    </xf>
    <xf numFmtId="0" fontId="7" fillId="0" borderId="0" xfId="65" applyFont="1">
      <alignment/>
      <protection/>
    </xf>
    <xf numFmtId="14" fontId="7" fillId="0" borderId="0" xfId="65" applyNumberFormat="1" applyFont="1">
      <alignment/>
      <protection/>
    </xf>
    <xf numFmtId="0" fontId="6" fillId="0" borderId="0" xfId="65" applyFont="1">
      <alignment/>
      <protection/>
    </xf>
    <xf numFmtId="0" fontId="0" fillId="0" borderId="0" xfId="0" applyFont="1" applyAlignment="1">
      <alignment/>
    </xf>
    <xf numFmtId="0" fontId="26" fillId="0" borderId="0" xfId="0" applyFont="1" applyFill="1" applyAlignment="1">
      <alignment horizontal="center"/>
    </xf>
    <xf numFmtId="0" fontId="19" fillId="0" borderId="0" xfId="0" applyFont="1" applyAlignment="1" applyProtection="1">
      <alignment horizontal="right"/>
      <protection locked="0"/>
    </xf>
    <xf numFmtId="164" fontId="0" fillId="0" borderId="0" xfId="0" applyNumberFormat="1" applyAlignment="1" applyProtection="1" quotePrefix="1">
      <alignment/>
      <protection/>
    </xf>
    <xf numFmtId="2" fontId="5" fillId="0" borderId="0" xfId="70" applyNumberFormat="1" applyFont="1" applyAlignment="1">
      <alignment/>
    </xf>
    <xf numFmtId="177" fontId="28" fillId="0" borderId="0" xfId="66" applyNumberFormat="1" applyFont="1" applyFill="1" applyBorder="1" applyProtection="1">
      <alignment/>
      <protection locked="0"/>
    </xf>
    <xf numFmtId="0" fontId="24" fillId="0" borderId="0" xfId="64" applyFont="1">
      <alignment/>
      <protection/>
    </xf>
    <xf numFmtId="0" fontId="29" fillId="0" borderId="0" xfId="64" applyFont="1">
      <alignment/>
      <protection/>
    </xf>
    <xf numFmtId="0" fontId="24" fillId="0" borderId="0" xfId="64" applyFont="1" applyAlignment="1">
      <alignment horizontal="left"/>
      <protection/>
    </xf>
    <xf numFmtId="0" fontId="40" fillId="0" borderId="0" xfId="67" applyFont="1">
      <alignment/>
      <protection/>
    </xf>
    <xf numFmtId="0" fontId="39" fillId="0" borderId="0" xfId="67" applyFont="1" applyAlignment="1">
      <alignment horizontal="center"/>
      <protection/>
    </xf>
    <xf numFmtId="0" fontId="39" fillId="0" borderId="0" xfId="67" applyFont="1">
      <alignment/>
      <protection/>
    </xf>
    <xf numFmtId="0" fontId="40" fillId="0" borderId="0" xfId="67" applyFont="1" applyAlignment="1">
      <alignment horizontal="center"/>
      <protection/>
    </xf>
    <xf numFmtId="0" fontId="39" fillId="34" borderId="0" xfId="67" applyFont="1" applyFill="1" applyAlignment="1">
      <alignment horizontal="center"/>
      <protection/>
    </xf>
    <xf numFmtId="0" fontId="40" fillId="34" borderId="0" xfId="67" applyFont="1" applyFill="1">
      <alignment/>
      <protection/>
    </xf>
    <xf numFmtId="0" fontId="39" fillId="34" borderId="0" xfId="67" applyFont="1" applyFill="1">
      <alignment/>
      <protection/>
    </xf>
    <xf numFmtId="0" fontId="39" fillId="0" borderId="0" xfId="67" applyFont="1" applyFill="1" applyBorder="1">
      <alignment/>
      <protection/>
    </xf>
    <xf numFmtId="0" fontId="39" fillId="34" borderId="0" xfId="67" applyFont="1" applyFill="1" applyBorder="1" applyAlignment="1">
      <alignment horizontal="center"/>
      <protection/>
    </xf>
    <xf numFmtId="0" fontId="41" fillId="34" borderId="0" xfId="67" applyFont="1" applyFill="1">
      <alignment/>
      <protection/>
    </xf>
    <xf numFmtId="0" fontId="41" fillId="0" borderId="0" xfId="67" applyFont="1" applyFill="1" applyBorder="1">
      <alignment/>
      <protection/>
    </xf>
    <xf numFmtId="0" fontId="39" fillId="34" borderId="0" xfId="67" applyFont="1" applyFill="1" applyAlignment="1">
      <alignment horizontal="right"/>
      <protection/>
    </xf>
    <xf numFmtId="0" fontId="39" fillId="34" borderId="0" xfId="67" applyFont="1" applyFill="1" applyAlignment="1">
      <alignment horizontal="right"/>
      <protection/>
    </xf>
    <xf numFmtId="0" fontId="39" fillId="0" borderId="0" xfId="67" applyFont="1" applyFill="1" applyBorder="1" applyAlignment="1">
      <alignment horizontal="right"/>
      <protection/>
    </xf>
    <xf numFmtId="0" fontId="40" fillId="0" borderId="13" xfId="67" applyFont="1" applyBorder="1">
      <alignment/>
      <protection/>
    </xf>
    <xf numFmtId="0" fontId="40" fillId="0" borderId="0" xfId="67" applyFont="1" applyBorder="1">
      <alignment/>
      <protection/>
    </xf>
    <xf numFmtId="0" fontId="42" fillId="35" borderId="10" xfId="67" applyFont="1" applyFill="1" applyBorder="1">
      <alignment/>
      <protection/>
    </xf>
    <xf numFmtId="2" fontId="42" fillId="35" borderId="10" xfId="67" applyNumberFormat="1" applyFont="1" applyFill="1" applyBorder="1">
      <alignment/>
      <protection/>
    </xf>
    <xf numFmtId="2" fontId="42" fillId="35" borderId="0" xfId="67" applyNumberFormat="1" applyFont="1" applyFill="1" applyBorder="1">
      <alignment/>
      <protection/>
    </xf>
    <xf numFmtId="0" fontId="42" fillId="0" borderId="0" xfId="67" applyFont="1">
      <alignment/>
      <protection/>
    </xf>
    <xf numFmtId="0" fontId="42" fillId="35" borderId="0" xfId="67" applyFont="1" applyFill="1" applyBorder="1">
      <alignment/>
      <protection/>
    </xf>
    <xf numFmtId="2" fontId="42" fillId="35" borderId="0" xfId="67" applyNumberFormat="1" applyFont="1" applyFill="1" applyBorder="1" applyAlignment="1">
      <alignment horizontal="right"/>
      <protection/>
    </xf>
    <xf numFmtId="2" fontId="42" fillId="35" borderId="0" xfId="67" applyNumberFormat="1" applyFont="1" applyFill="1" applyBorder="1" applyAlignment="1">
      <alignment horizontal="center"/>
      <protection/>
    </xf>
    <xf numFmtId="0" fontId="40" fillId="35" borderId="14" xfId="67" applyFont="1" applyFill="1" applyBorder="1">
      <alignment/>
      <protection/>
    </xf>
    <xf numFmtId="2" fontId="40" fillId="35" borderId="14" xfId="67" applyNumberFormat="1" applyFont="1" applyFill="1" applyBorder="1">
      <alignment/>
      <protection/>
    </xf>
    <xf numFmtId="2" fontId="42" fillId="35" borderId="14" xfId="67" applyNumberFormat="1" applyFont="1" applyFill="1" applyBorder="1">
      <alignment/>
      <protection/>
    </xf>
    <xf numFmtId="0" fontId="40" fillId="0" borderId="14" xfId="67" applyFont="1" applyBorder="1">
      <alignment/>
      <protection/>
    </xf>
    <xf numFmtId="0" fontId="40" fillId="35" borderId="0" xfId="67" applyFont="1" applyFill="1" applyBorder="1">
      <alignment/>
      <protection/>
    </xf>
    <xf numFmtId="2" fontId="40" fillId="35" borderId="0" xfId="67" applyNumberFormat="1" applyFont="1" applyFill="1" applyBorder="1">
      <alignment/>
      <protection/>
    </xf>
    <xf numFmtId="2" fontId="40" fillId="0" borderId="0" xfId="67" applyNumberFormat="1" applyFont="1">
      <alignment/>
      <protection/>
    </xf>
    <xf numFmtId="0" fontId="43" fillId="0" borderId="0" xfId="67" applyFont="1">
      <alignment/>
      <protection/>
    </xf>
    <xf numFmtId="2" fontId="43" fillId="0" borderId="0" xfId="67" applyNumberFormat="1" applyFont="1">
      <alignment/>
      <protection/>
    </xf>
    <xf numFmtId="0" fontId="44" fillId="0" borderId="0" xfId="67" applyFont="1">
      <alignment/>
      <protection/>
    </xf>
    <xf numFmtId="0" fontId="44" fillId="0" borderId="0" xfId="67" applyFont="1" applyAlignment="1">
      <alignment horizontal="left" indent="8"/>
      <protection/>
    </xf>
    <xf numFmtId="0" fontId="4" fillId="0" borderId="0" xfId="67">
      <alignment/>
      <protection/>
    </xf>
    <xf numFmtId="0" fontId="40" fillId="0" borderId="0" xfId="67" applyFont="1">
      <alignment/>
      <protection/>
    </xf>
    <xf numFmtId="2" fontId="4" fillId="0" borderId="0" xfId="67" applyNumberFormat="1">
      <alignment/>
      <protection/>
    </xf>
    <xf numFmtId="0" fontId="27" fillId="36" borderId="0" xfId="66" applyFont="1" applyFill="1" applyBorder="1" applyProtection="1">
      <alignment/>
      <protection locked="0"/>
    </xf>
    <xf numFmtId="176" fontId="0" fillId="0" borderId="0" xfId="0" applyNumberFormat="1" applyAlignment="1">
      <alignment/>
    </xf>
    <xf numFmtId="164" fontId="0" fillId="0" borderId="0" xfId="0" applyNumberFormat="1" applyFont="1" applyAlignment="1" applyProtection="1">
      <alignment horizontal="left"/>
      <protection/>
    </xf>
    <xf numFmtId="164" fontId="0" fillId="0" borderId="0" xfId="0" applyNumberFormat="1" applyFont="1" applyAlignment="1" applyProtection="1">
      <alignment/>
      <protection/>
    </xf>
    <xf numFmtId="0" fontId="7" fillId="0" borderId="0" xfId="0" applyFont="1" applyAlignment="1">
      <alignment/>
    </xf>
    <xf numFmtId="164" fontId="7" fillId="0" borderId="0" xfId="0" applyNumberFormat="1" applyFont="1" applyAlignment="1" applyProtection="1">
      <alignment horizontal="center"/>
      <protection/>
    </xf>
    <xf numFmtId="5" fontId="7" fillId="0" borderId="0" xfId="0" applyNumberFormat="1" applyFont="1" applyAlignment="1" applyProtection="1">
      <alignment horizontal="center"/>
      <protection/>
    </xf>
    <xf numFmtId="0" fontId="7" fillId="0" borderId="0" xfId="0" applyFont="1" applyAlignment="1">
      <alignment horizontal="center"/>
    </xf>
    <xf numFmtId="38" fontId="13" fillId="0" borderId="0" xfId="0" applyNumberFormat="1" applyFont="1" applyAlignment="1" applyProtection="1">
      <alignment/>
      <protection locked="0"/>
    </xf>
    <xf numFmtId="0" fontId="0" fillId="0" borderId="0" xfId="0" applyFont="1" applyAlignment="1" applyProtection="1">
      <alignment/>
      <protection locked="0"/>
    </xf>
    <xf numFmtId="38" fontId="0" fillId="0" borderId="0" xfId="0" applyNumberFormat="1" applyFont="1" applyAlignment="1" applyProtection="1">
      <alignment/>
      <protection/>
    </xf>
    <xf numFmtId="10" fontId="0" fillId="0" borderId="0" xfId="70" applyNumberFormat="1" applyFont="1" applyAlignment="1">
      <alignment/>
    </xf>
    <xf numFmtId="164" fontId="93" fillId="0" borderId="0" xfId="0" applyNumberFormat="1" applyFont="1" applyAlignment="1" applyProtection="1">
      <alignment horizontal="centerContinuous"/>
      <protection/>
    </xf>
    <xf numFmtId="164" fontId="93" fillId="0" borderId="0" xfId="0" applyNumberFormat="1" applyFont="1" applyAlignment="1" applyProtection="1">
      <alignment/>
      <protection/>
    </xf>
    <xf numFmtId="0" fontId="93" fillId="0" borderId="0" xfId="0" applyFont="1" applyAlignment="1" applyProtection="1">
      <alignment/>
      <protection locked="0"/>
    </xf>
    <xf numFmtId="164" fontId="94" fillId="0" borderId="0" xfId="0" applyNumberFormat="1" applyFont="1" applyAlignment="1" applyProtection="1">
      <alignment horizontal="center"/>
      <protection/>
    </xf>
    <xf numFmtId="6" fontId="95" fillId="0" borderId="0" xfId="0" applyNumberFormat="1" applyFont="1" applyAlignment="1" applyProtection="1">
      <alignment/>
      <protection/>
    </xf>
    <xf numFmtId="37" fontId="95" fillId="0" borderId="0" xfId="0" applyNumberFormat="1" applyFont="1" applyAlignment="1" applyProtection="1">
      <alignment/>
      <protection/>
    </xf>
    <xf numFmtId="38" fontId="95" fillId="0" borderId="0" xfId="0" applyNumberFormat="1" applyFont="1" applyAlignment="1" applyProtection="1">
      <alignment/>
      <protection/>
    </xf>
    <xf numFmtId="0" fontId="94" fillId="0" borderId="0" xfId="0" applyFont="1" applyAlignment="1">
      <alignment/>
    </xf>
    <xf numFmtId="37" fontId="96" fillId="0" borderId="0" xfId="0" applyNumberFormat="1" applyFont="1" applyAlignment="1" applyProtection="1">
      <alignment/>
      <protection/>
    </xf>
    <xf numFmtId="38" fontId="96" fillId="0" borderId="0" xfId="0" applyNumberFormat="1" applyFont="1" applyAlignment="1" applyProtection="1">
      <alignment/>
      <protection/>
    </xf>
    <xf numFmtId="38" fontId="97" fillId="0" borderId="0" xfId="0" applyNumberFormat="1" applyFont="1" applyAlignment="1" applyProtection="1">
      <alignment/>
      <protection/>
    </xf>
    <xf numFmtId="168" fontId="98" fillId="0" borderId="0" xfId="42" applyNumberFormat="1" applyFont="1">
      <alignment/>
      <protection/>
    </xf>
    <xf numFmtId="0" fontId="95" fillId="0" borderId="0" xfId="0" applyFont="1" applyAlignment="1">
      <alignment/>
    </xf>
    <xf numFmtId="164" fontId="95" fillId="0" borderId="0" xfId="0" applyNumberFormat="1" applyFont="1" applyAlignment="1" applyProtection="1">
      <alignment/>
      <protection/>
    </xf>
    <xf numFmtId="0" fontId="93" fillId="0" borderId="0" xfId="0" applyFont="1" applyAlignment="1">
      <alignment/>
    </xf>
    <xf numFmtId="0" fontId="93" fillId="0" borderId="0" xfId="0" applyFont="1" applyAlignment="1">
      <alignment horizontal="centerContinuous"/>
    </xf>
    <xf numFmtId="38" fontId="95" fillId="0" borderId="0" xfId="0" applyNumberFormat="1" applyFont="1" applyAlignment="1" applyProtection="1">
      <alignment/>
      <protection locked="0"/>
    </xf>
    <xf numFmtId="168" fontId="95" fillId="0" borderId="0" xfId="42" applyNumberFormat="1" applyFont="1">
      <alignment/>
      <protection/>
    </xf>
    <xf numFmtId="38" fontId="94" fillId="0" borderId="0" xfId="0" applyNumberFormat="1" applyFont="1" applyAlignment="1" applyProtection="1">
      <alignment/>
      <protection/>
    </xf>
    <xf numFmtId="5" fontId="7" fillId="19" borderId="15" xfId="0" applyNumberFormat="1" applyFont="1" applyFill="1" applyBorder="1" applyAlignment="1" applyProtection="1">
      <alignment horizontal="center"/>
      <protection/>
    </xf>
    <xf numFmtId="0" fontId="5" fillId="0" borderId="0" xfId="0" applyFont="1" applyAlignment="1" applyProtection="1">
      <alignment horizontal="center"/>
      <protection locked="0"/>
    </xf>
    <xf numFmtId="164" fontId="99" fillId="0" borderId="0" xfId="0" applyNumberFormat="1" applyFont="1" applyAlignment="1" applyProtection="1">
      <alignment horizontal="centerContinuous"/>
      <protection/>
    </xf>
    <xf numFmtId="164" fontId="99" fillId="0" borderId="0" xfId="0" applyNumberFormat="1" applyFont="1" applyAlignment="1" applyProtection="1">
      <alignment/>
      <protection/>
    </xf>
    <xf numFmtId="0" fontId="99" fillId="0" borderId="0" xfId="0" applyFont="1" applyAlignment="1" applyProtection="1">
      <alignment/>
      <protection locked="0"/>
    </xf>
    <xf numFmtId="37" fontId="100" fillId="0" borderId="0" xfId="0" applyNumberFormat="1" applyFont="1" applyAlignment="1" applyProtection="1">
      <alignment/>
      <protection/>
    </xf>
    <xf numFmtId="38" fontId="100" fillId="0" borderId="0" xfId="0" applyNumberFormat="1" applyFont="1" applyAlignment="1" applyProtection="1">
      <alignment/>
      <protection/>
    </xf>
    <xf numFmtId="0" fontId="101" fillId="0" borderId="0" xfId="0" applyFont="1" applyAlignment="1">
      <alignment/>
    </xf>
    <xf numFmtId="37" fontId="102" fillId="0" borderId="0" xfId="0" applyNumberFormat="1" applyFont="1" applyAlignment="1" applyProtection="1">
      <alignment/>
      <protection/>
    </xf>
    <xf numFmtId="38" fontId="102" fillId="0" borderId="0" xfId="0" applyNumberFormat="1" applyFont="1" applyAlignment="1" applyProtection="1">
      <alignment/>
      <protection/>
    </xf>
    <xf numFmtId="38" fontId="103" fillId="0" borderId="0" xfId="0" applyNumberFormat="1" applyFont="1" applyAlignment="1" applyProtection="1">
      <alignment/>
      <protection/>
    </xf>
    <xf numFmtId="168" fontId="104" fillId="0" borderId="0" xfId="42" applyNumberFormat="1" applyFont="1">
      <alignment/>
      <protection/>
    </xf>
    <xf numFmtId="0" fontId="100" fillId="0" borderId="0" xfId="0" applyFont="1" applyAlignment="1">
      <alignment/>
    </xf>
    <xf numFmtId="164" fontId="100" fillId="0" borderId="0" xfId="0" applyNumberFormat="1" applyFont="1" applyAlignment="1" applyProtection="1">
      <alignment/>
      <protection/>
    </xf>
    <xf numFmtId="0" fontId="99" fillId="0" borderId="0" xfId="0" applyFont="1" applyAlignment="1">
      <alignment/>
    </xf>
    <xf numFmtId="38" fontId="100" fillId="0" borderId="0" xfId="0" applyNumberFormat="1" applyFont="1" applyAlignment="1" applyProtection="1">
      <alignment/>
      <protection locked="0"/>
    </xf>
    <xf numFmtId="168" fontId="100" fillId="0" borderId="0" xfId="42" applyNumberFormat="1" applyFont="1">
      <alignment/>
      <protection/>
    </xf>
    <xf numFmtId="164" fontId="9" fillId="0" borderId="0" xfId="0" applyNumberFormat="1" applyFont="1" applyAlignment="1" applyProtection="1">
      <alignment horizontal="right"/>
      <protection/>
    </xf>
    <xf numFmtId="6" fontId="101" fillId="0" borderId="0" xfId="0" applyNumberFormat="1" applyFont="1" applyAlignment="1" applyProtection="1">
      <alignment horizontal="center"/>
      <protection/>
    </xf>
    <xf numFmtId="6" fontId="99" fillId="0" borderId="0" xfId="0" applyNumberFormat="1" applyFont="1" applyAlignment="1" applyProtection="1">
      <alignment/>
      <protection/>
    </xf>
    <xf numFmtId="168" fontId="100" fillId="0" borderId="11" xfId="42" applyNumberFormat="1" applyFont="1" applyBorder="1" applyProtection="1">
      <alignment/>
      <protection/>
    </xf>
    <xf numFmtId="168" fontId="100" fillId="0" borderId="0" xfId="42" applyNumberFormat="1" applyFont="1" applyProtection="1">
      <alignment/>
      <protection locked="0"/>
    </xf>
    <xf numFmtId="168" fontId="100" fillId="0" borderId="0" xfId="42" applyNumberFormat="1" applyFont="1" applyBorder="1">
      <alignment/>
      <protection/>
    </xf>
    <xf numFmtId="5" fontId="101" fillId="0" borderId="0" xfId="0" applyNumberFormat="1" applyFont="1" applyAlignment="1" applyProtection="1">
      <alignment horizontal="center"/>
      <protection/>
    </xf>
    <xf numFmtId="0" fontId="0" fillId="0" borderId="0" xfId="0" applyFont="1" applyAlignment="1">
      <alignment horizontal="centerContinuous"/>
    </xf>
    <xf numFmtId="38" fontId="7" fillId="0" borderId="0" xfId="0" applyNumberFormat="1" applyFont="1" applyAlignment="1" applyProtection="1">
      <alignment/>
      <protection/>
    </xf>
    <xf numFmtId="168" fontId="4" fillId="0" borderId="0" xfId="42" applyNumberFormat="1" applyFont="1">
      <alignment/>
      <protection/>
    </xf>
    <xf numFmtId="0" fontId="5" fillId="0" borderId="16" xfId="0" applyFont="1" applyBorder="1" applyAlignment="1" applyProtection="1">
      <alignment vertical="center" wrapText="1"/>
      <protection locked="0"/>
    </xf>
    <xf numFmtId="0" fontId="6" fillId="0" borderId="0" xfId="0" applyFont="1" applyAlignment="1">
      <alignment/>
    </xf>
    <xf numFmtId="0" fontId="5" fillId="0" borderId="17" xfId="0" applyFont="1" applyBorder="1" applyAlignment="1" applyProtection="1">
      <alignment vertical="center" wrapText="1"/>
      <protection locked="0"/>
    </xf>
    <xf numFmtId="168" fontId="100" fillId="0" borderId="13" xfId="42" applyNumberFormat="1" applyFont="1" applyBorder="1">
      <alignment/>
      <protection/>
    </xf>
    <xf numFmtId="38" fontId="95" fillId="0" borderId="13" xfId="0" applyNumberFormat="1" applyFont="1" applyBorder="1" applyAlignment="1" applyProtection="1">
      <alignment/>
      <protection/>
    </xf>
    <xf numFmtId="38" fontId="13" fillId="0" borderId="13" xfId="0" applyNumberFormat="1" applyFont="1" applyBorder="1" applyAlignment="1" applyProtection="1">
      <alignment/>
      <protection/>
    </xf>
    <xf numFmtId="168" fontId="13" fillId="0" borderId="13" xfId="42" applyNumberFormat="1" applyFont="1" applyBorder="1">
      <alignment/>
      <protection/>
    </xf>
    <xf numFmtId="168" fontId="100" fillId="0" borderId="0" xfId="42" applyNumberFormat="1" applyFont="1" applyBorder="1" applyProtection="1">
      <alignment/>
      <protection/>
    </xf>
    <xf numFmtId="6" fontId="95" fillId="0" borderId="13" xfId="0" applyNumberFormat="1" applyFont="1" applyBorder="1" applyAlignment="1" applyProtection="1">
      <alignment/>
      <protection/>
    </xf>
    <xf numFmtId="168" fontId="13" fillId="0" borderId="13" xfId="0" applyNumberFormat="1" applyFont="1" applyBorder="1" applyAlignment="1" applyProtection="1">
      <alignment/>
      <protection/>
    </xf>
    <xf numFmtId="168" fontId="100" fillId="0" borderId="0" xfId="0" applyNumberFormat="1" applyFont="1" applyBorder="1" applyAlignment="1" applyProtection="1">
      <alignment/>
      <protection/>
    </xf>
    <xf numFmtId="38" fontId="95" fillId="0" borderId="13" xfId="0" applyNumberFormat="1" applyFont="1" applyBorder="1" applyAlignment="1" applyProtection="1">
      <alignment/>
      <protection locked="0"/>
    </xf>
    <xf numFmtId="10" fontId="5" fillId="0" borderId="0" xfId="65" applyNumberFormat="1" applyFont="1" applyProtection="1">
      <alignment/>
      <protection locked="0"/>
    </xf>
    <xf numFmtId="0" fontId="0" fillId="0" borderId="0" xfId="65" applyFont="1">
      <alignment/>
      <protection/>
    </xf>
    <xf numFmtId="0" fontId="7" fillId="0" borderId="0" xfId="0" applyFont="1" applyAlignment="1">
      <alignment horizontal="center"/>
    </xf>
    <xf numFmtId="0" fontId="0" fillId="0" borderId="0" xfId="0" applyFont="1" applyAlignment="1">
      <alignment/>
    </xf>
    <xf numFmtId="0" fontId="11" fillId="0" borderId="0" xfId="65" applyFont="1" applyAlignment="1">
      <alignment horizontal="left"/>
      <protection/>
    </xf>
    <xf numFmtId="10" fontId="0" fillId="0" borderId="0" xfId="65" applyNumberFormat="1" applyFont="1" applyAlignment="1" applyProtection="1">
      <alignment horizontal="center"/>
      <protection/>
    </xf>
    <xf numFmtId="0" fontId="0" fillId="0" borderId="0" xfId="65" applyFont="1" applyAlignment="1">
      <alignment horizontal="left"/>
      <protection/>
    </xf>
    <xf numFmtId="37" fontId="0" fillId="0" borderId="0" xfId="65" applyNumberFormat="1" applyFont="1" applyProtection="1">
      <alignment/>
      <protection/>
    </xf>
    <xf numFmtId="10" fontId="0" fillId="0" borderId="0" xfId="65" applyNumberFormat="1" applyFont="1" applyProtection="1">
      <alignment/>
      <protection/>
    </xf>
    <xf numFmtId="43" fontId="0" fillId="0" borderId="0" xfId="0" applyNumberFormat="1" applyAlignment="1">
      <alignment/>
    </xf>
    <xf numFmtId="10" fontId="0" fillId="0" borderId="0" xfId="70" applyNumberFormat="1" applyFont="1" applyAlignment="1">
      <alignment/>
    </xf>
    <xf numFmtId="10" fontId="0" fillId="0" borderId="0" xfId="0" applyNumberFormat="1" applyFont="1" applyAlignment="1">
      <alignment/>
    </xf>
    <xf numFmtId="0" fontId="7" fillId="0" borderId="0" xfId="0" applyFont="1" applyAlignment="1">
      <alignment horizontal="left"/>
    </xf>
    <xf numFmtId="0" fontId="7" fillId="0" borderId="0" xfId="65" applyFont="1" applyAlignment="1">
      <alignment horizontal="right"/>
      <protection/>
    </xf>
    <xf numFmtId="165" fontId="5" fillId="0" borderId="15" xfId="65" applyNumberFormat="1" applyFont="1" applyBorder="1" applyProtection="1">
      <alignment/>
      <protection/>
    </xf>
    <xf numFmtId="187" fontId="46" fillId="0" borderId="0" xfId="65" applyNumberFormat="1" applyFont="1">
      <alignment/>
      <protection/>
    </xf>
    <xf numFmtId="0" fontId="0" fillId="0" borderId="0" xfId="65" applyFont="1" applyAlignment="1">
      <alignment horizontal="right"/>
      <protection/>
    </xf>
    <xf numFmtId="0" fontId="5" fillId="0" borderId="0" xfId="65" applyFont="1" applyProtection="1">
      <alignment/>
      <protection locked="0"/>
    </xf>
    <xf numFmtId="0" fontId="7" fillId="0" borderId="0" xfId="65" applyFont="1" applyAlignment="1">
      <alignment horizontal="center"/>
      <protection/>
    </xf>
    <xf numFmtId="0" fontId="8" fillId="0" borderId="0" xfId="65" applyFont="1">
      <alignment/>
      <protection/>
    </xf>
    <xf numFmtId="0" fontId="11" fillId="0" borderId="0" xfId="65" applyFont="1" applyAlignment="1">
      <alignment horizontal="center"/>
      <protection/>
    </xf>
    <xf numFmtId="0" fontId="11" fillId="0" borderId="0" xfId="65" applyFont="1" applyAlignment="1">
      <alignment horizontal="centerContinuous"/>
      <protection/>
    </xf>
    <xf numFmtId="0" fontId="11" fillId="0" borderId="0" xfId="65" applyFont="1">
      <alignment/>
      <protection/>
    </xf>
    <xf numFmtId="0" fontId="0" fillId="0" borderId="0" xfId="65" applyFont="1">
      <alignment/>
      <protection/>
    </xf>
    <xf numFmtId="0" fontId="12" fillId="0" borderId="0" xfId="65" applyFont="1" applyAlignment="1">
      <alignment horizontal="left"/>
      <protection/>
    </xf>
    <xf numFmtId="164" fontId="23" fillId="0" borderId="0" xfId="58" applyNumberFormat="1" applyAlignment="1" applyProtection="1">
      <alignment horizontal="left"/>
      <protection/>
    </xf>
    <xf numFmtId="14" fontId="7" fillId="0" borderId="0" xfId="65" applyNumberFormat="1" applyFont="1">
      <alignment/>
      <protection/>
    </xf>
    <xf numFmtId="0" fontId="7" fillId="0" borderId="0" xfId="65" applyFont="1">
      <alignment/>
      <protection/>
    </xf>
    <xf numFmtId="0" fontId="0" fillId="0" borderId="0" xfId="65" applyFont="1" applyAlignment="1">
      <alignment horizontal="right"/>
      <protection/>
    </xf>
    <xf numFmtId="0" fontId="1" fillId="0" borderId="0" xfId="0" applyFont="1" applyAlignment="1">
      <alignment horizontal="right" wrapText="1"/>
    </xf>
    <xf numFmtId="0" fontId="47" fillId="0" borderId="0" xfId="0" applyFont="1" applyAlignment="1">
      <alignment horizontal="right" wrapText="1"/>
    </xf>
    <xf numFmtId="38" fontId="1" fillId="37" borderId="18" xfId="42" applyNumberFormat="1" applyFont="1" applyFill="1" applyBorder="1" applyAlignment="1">
      <alignment/>
      <protection/>
    </xf>
    <xf numFmtId="38" fontId="1" fillId="37" borderId="19" xfId="42" applyNumberFormat="1" applyFont="1" applyFill="1" applyBorder="1" applyAlignment="1">
      <alignment/>
      <protection/>
    </xf>
    <xf numFmtId="176" fontId="48" fillId="0" borderId="0" xfId="63">
      <alignment/>
      <protection/>
    </xf>
    <xf numFmtId="176" fontId="0" fillId="0" borderId="0" xfId="63" applyFont="1">
      <alignment/>
      <protection/>
    </xf>
    <xf numFmtId="176" fontId="33" fillId="0" borderId="0" xfId="63" applyFont="1">
      <alignment/>
      <protection/>
    </xf>
    <xf numFmtId="176" fontId="34" fillId="0" borderId="0" xfId="63" applyFont="1">
      <alignment/>
      <protection/>
    </xf>
    <xf numFmtId="176" fontId="33" fillId="0" borderId="0" xfId="63" applyFont="1" applyAlignment="1">
      <alignment horizontal="center" wrapText="1"/>
      <protection/>
    </xf>
    <xf numFmtId="40" fontId="0" fillId="0" borderId="0" xfId="45" applyFont="1" applyAlignment="1">
      <alignment/>
    </xf>
    <xf numFmtId="176" fontId="7" fillId="0" borderId="0" xfId="63" applyFont="1">
      <alignment/>
      <protection/>
    </xf>
    <xf numFmtId="40" fontId="7" fillId="0" borderId="0" xfId="45" applyFont="1" applyAlignment="1">
      <alignment/>
    </xf>
    <xf numFmtId="176" fontId="35" fillId="0" borderId="0" xfId="63" applyFont="1" applyAlignment="1">
      <alignment horizontal="center"/>
      <protection/>
    </xf>
    <xf numFmtId="8" fontId="36" fillId="0" borderId="0" xfId="50" applyFont="1" applyAlignment="1">
      <alignment/>
    </xf>
    <xf numFmtId="184" fontId="7" fillId="0" borderId="0" xfId="63" applyNumberFormat="1" applyFont="1" applyAlignment="1">
      <alignment horizontal="centerContinuous"/>
      <protection/>
    </xf>
    <xf numFmtId="176" fontId="7" fillId="0" borderId="0" xfId="63" applyFont="1" applyAlignment="1">
      <alignment horizontal="center"/>
      <protection/>
    </xf>
    <xf numFmtId="40" fontId="7" fillId="0" borderId="0" xfId="45" applyFont="1" applyAlignment="1">
      <alignment horizontal="center"/>
    </xf>
    <xf numFmtId="176" fontId="0" fillId="0" borderId="0" xfId="63" applyFont="1" applyAlignment="1">
      <alignment horizontal="center"/>
      <protection/>
    </xf>
    <xf numFmtId="176" fontId="37" fillId="0" borderId="0" xfId="63" applyFont="1">
      <alignment/>
      <protection/>
    </xf>
    <xf numFmtId="176" fontId="4" fillId="0" borderId="0" xfId="63" applyFont="1" applyAlignment="1">
      <alignment horizontal="right"/>
      <protection/>
    </xf>
    <xf numFmtId="38" fontId="1" fillId="0" borderId="0" xfId="45" applyNumberFormat="1" applyFont="1" applyAlignment="1">
      <alignment/>
    </xf>
    <xf numFmtId="176" fontId="35" fillId="0" borderId="0" xfId="63" applyNumberFormat="1" applyFont="1" applyAlignment="1">
      <alignment horizontal="center"/>
      <protection/>
    </xf>
    <xf numFmtId="8" fontId="36" fillId="0" borderId="0" xfId="50" applyNumberFormat="1" applyFont="1" applyAlignment="1">
      <alignment/>
    </xf>
    <xf numFmtId="176" fontId="7" fillId="0" borderId="0" xfId="63" applyNumberFormat="1" applyFont="1">
      <alignment/>
      <protection/>
    </xf>
    <xf numFmtId="176" fontId="37" fillId="0" borderId="0" xfId="63" applyNumberFormat="1" applyFont="1">
      <alignment/>
      <protection/>
    </xf>
    <xf numFmtId="40" fontId="7" fillId="0" borderId="0" xfId="45" applyNumberFormat="1" applyFont="1" applyAlignment="1">
      <alignment/>
    </xf>
    <xf numFmtId="176" fontId="11" fillId="0" borderId="0" xfId="63" applyFont="1" applyAlignment="1">
      <alignment horizontal="left"/>
      <protection/>
    </xf>
    <xf numFmtId="176" fontId="11" fillId="0" borderId="0" xfId="63" applyFont="1" applyAlignment="1">
      <alignment horizontal="center"/>
      <protection/>
    </xf>
    <xf numFmtId="40" fontId="11" fillId="0" borderId="0" xfId="45" applyFont="1" applyAlignment="1">
      <alignment horizontal="center"/>
    </xf>
    <xf numFmtId="176" fontId="13" fillId="0" borderId="0" xfId="63" applyFont="1">
      <alignment/>
      <protection/>
    </xf>
    <xf numFmtId="40" fontId="7" fillId="0" borderId="0" xfId="46" applyFont="1" applyAlignment="1">
      <alignment/>
    </xf>
    <xf numFmtId="0" fontId="7" fillId="0" borderId="0" xfId="65" applyFont="1" applyAlignment="1">
      <alignment horizontal="center"/>
      <protection/>
    </xf>
    <xf numFmtId="0" fontId="11" fillId="0" borderId="0" xfId="65" applyFont="1" applyAlignment="1">
      <alignment horizontal="center"/>
      <protection/>
    </xf>
    <xf numFmtId="10" fontId="5" fillId="0" borderId="0" xfId="70" applyNumberFormat="1" applyFont="1" applyAlignment="1" applyProtection="1">
      <alignment/>
      <protection locked="0"/>
    </xf>
    <xf numFmtId="10" fontId="5" fillId="0" borderId="0" xfId="65" applyNumberFormat="1" applyFont="1" applyFill="1" applyProtection="1">
      <alignment/>
      <protection locked="0"/>
    </xf>
    <xf numFmtId="38" fontId="95" fillId="0" borderId="0" xfId="0" applyNumberFormat="1" applyFont="1" applyAlignment="1" applyProtection="1">
      <alignment/>
      <protection/>
    </xf>
    <xf numFmtId="38" fontId="95" fillId="0" borderId="0" xfId="0" applyNumberFormat="1" applyFont="1" applyAlignment="1" applyProtection="1">
      <alignment/>
      <protection locked="0"/>
    </xf>
    <xf numFmtId="164" fontId="0" fillId="0" borderId="0" xfId="0" applyNumberFormat="1" applyFont="1" applyAlignment="1" applyProtection="1">
      <alignment/>
      <protection/>
    </xf>
    <xf numFmtId="0" fontId="0" fillId="16" borderId="0" xfId="65" applyFill="1" applyAlignment="1">
      <alignment horizontal="left"/>
      <protection/>
    </xf>
    <xf numFmtId="0" fontId="11" fillId="16" borderId="0" xfId="65" applyFont="1" applyFill="1" applyAlignment="1">
      <alignment horizontal="left"/>
      <protection/>
    </xf>
    <xf numFmtId="0" fontId="8" fillId="16" borderId="0" xfId="65" applyFont="1" applyFill="1">
      <alignment/>
      <protection/>
    </xf>
    <xf numFmtId="0" fontId="11" fillId="16" borderId="0" xfId="65" applyFont="1" applyFill="1" applyAlignment="1">
      <alignment horizontal="center"/>
      <protection/>
    </xf>
    <xf numFmtId="0" fontId="0" fillId="16" borderId="0" xfId="65" applyFont="1" applyFill="1" applyAlignment="1">
      <alignment horizontal="left"/>
      <protection/>
    </xf>
    <xf numFmtId="0" fontId="0" fillId="16" borderId="0" xfId="65" applyFont="1" applyFill="1">
      <alignment/>
      <protection/>
    </xf>
    <xf numFmtId="10" fontId="5" fillId="16" borderId="0" xfId="65" applyNumberFormat="1" applyFont="1" applyFill="1" applyProtection="1">
      <alignment/>
      <protection locked="0"/>
    </xf>
    <xf numFmtId="0" fontId="0" fillId="16" borderId="0" xfId="65" applyFont="1" applyFill="1" applyAlignment="1">
      <alignment horizontal="left"/>
      <protection/>
    </xf>
    <xf numFmtId="168" fontId="13" fillId="0" borderId="0" xfId="0" applyNumberFormat="1" applyFont="1" applyBorder="1" applyAlignment="1" applyProtection="1">
      <alignment/>
      <protection/>
    </xf>
    <xf numFmtId="6" fontId="95" fillId="0" borderId="0" xfId="0" applyNumberFormat="1" applyFont="1" applyBorder="1" applyAlignment="1" applyProtection="1">
      <alignment/>
      <protection/>
    </xf>
    <xf numFmtId="168" fontId="0" fillId="0" borderId="13" xfId="0" applyNumberFormat="1" applyBorder="1" applyAlignment="1">
      <alignment/>
    </xf>
    <xf numFmtId="0" fontId="0" fillId="0" borderId="0" xfId="0" applyFont="1" applyBorder="1" applyAlignment="1">
      <alignment/>
    </xf>
    <xf numFmtId="0" fontId="0" fillId="0" borderId="0" xfId="0" applyBorder="1" applyAlignment="1">
      <alignment vertical="center" wrapText="1"/>
    </xf>
    <xf numFmtId="0" fontId="0" fillId="0" borderId="0" xfId="0" applyAlignment="1">
      <alignment wrapText="1"/>
    </xf>
    <xf numFmtId="0" fontId="7" fillId="0" borderId="0" xfId="0" applyFont="1" applyAlignment="1">
      <alignment horizontal="center"/>
    </xf>
    <xf numFmtId="6" fontId="7" fillId="19" borderId="18" xfId="0" applyNumberFormat="1" applyFont="1" applyFill="1" applyBorder="1" applyAlignment="1" applyProtection="1">
      <alignment horizontal="center"/>
      <protection/>
    </xf>
    <xf numFmtId="6" fontId="7" fillId="19" borderId="20" xfId="0" applyNumberFormat="1" applyFont="1" applyFill="1" applyBorder="1" applyAlignment="1" applyProtection="1">
      <alignment horizontal="center"/>
      <protection/>
    </xf>
    <xf numFmtId="6" fontId="7" fillId="19" borderId="19" xfId="0" applyNumberFormat="1" applyFont="1" applyFill="1" applyBorder="1" applyAlignment="1" applyProtection="1">
      <alignment horizontal="center"/>
      <protection/>
    </xf>
    <xf numFmtId="0" fontId="5" fillId="0" borderId="16"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6" fillId="0" borderId="0" xfId="0" applyFont="1" applyAlignment="1">
      <alignment horizontal="center"/>
    </xf>
    <xf numFmtId="0" fontId="0" fillId="0" borderId="0" xfId="0" applyFont="1" applyAlignment="1">
      <alignment horizontal="center" vertical="center" wrapText="1"/>
    </xf>
    <xf numFmtId="0" fontId="5" fillId="0" borderId="16"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0" fillId="0" borderId="10" xfId="0" applyBorder="1"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0" fillId="0" borderId="22" xfId="0" applyBorder="1" applyAlignment="1">
      <alignment vertical="center" wrapText="1"/>
    </xf>
    <xf numFmtId="5" fontId="7" fillId="19" borderId="18" xfId="0" applyNumberFormat="1" applyFont="1" applyFill="1" applyBorder="1" applyAlignment="1" applyProtection="1">
      <alignment horizontal="center"/>
      <protection/>
    </xf>
    <xf numFmtId="5" fontId="7" fillId="19" borderId="20" xfId="0" applyNumberFormat="1" applyFont="1" applyFill="1" applyBorder="1" applyAlignment="1" applyProtection="1">
      <alignment horizontal="center"/>
      <protection/>
    </xf>
    <xf numFmtId="5" fontId="7" fillId="19" borderId="19" xfId="0" applyNumberFormat="1" applyFont="1" applyFill="1" applyBorder="1" applyAlignment="1" applyProtection="1">
      <alignment horizontal="center"/>
      <protection/>
    </xf>
    <xf numFmtId="0" fontId="6" fillId="0" borderId="0" xfId="0" applyFont="1" applyAlignment="1">
      <alignment horizontal="right"/>
    </xf>
    <xf numFmtId="40" fontId="7" fillId="0" borderId="10" xfId="45" applyFont="1" applyBorder="1" applyAlignment="1">
      <alignment horizontal="center" vertical="center" wrapText="1"/>
    </xf>
    <xf numFmtId="40" fontId="7" fillId="0" borderId="0" xfId="45" applyFont="1" applyBorder="1" applyAlignment="1">
      <alignment horizontal="center" vertical="center" wrapText="1"/>
    </xf>
    <xf numFmtId="176" fontId="1" fillId="0" borderId="0" xfId="63" applyFont="1" applyAlignment="1">
      <alignment horizontal="right" wrapText="1"/>
      <protection/>
    </xf>
    <xf numFmtId="176" fontId="47" fillId="0" borderId="0" xfId="63" applyFont="1" applyAlignment="1">
      <alignment horizontal="right" wrapText="1"/>
      <protection/>
    </xf>
    <xf numFmtId="38" fontId="1" fillId="37" borderId="18" xfId="45" applyNumberFormat="1" applyFont="1" applyFill="1" applyBorder="1" applyAlignment="1">
      <alignment/>
    </xf>
    <xf numFmtId="38" fontId="1" fillId="37" borderId="19" xfId="45" applyNumberFormat="1" applyFont="1" applyFill="1" applyBorder="1" applyAlignment="1">
      <alignment/>
    </xf>
    <xf numFmtId="38" fontId="1" fillId="38" borderId="0" xfId="45" applyNumberFormat="1" applyFont="1" applyFill="1" applyAlignment="1">
      <alignment horizontal="right"/>
    </xf>
    <xf numFmtId="176" fontId="7" fillId="0" borderId="0" xfId="63" applyFont="1" applyAlignment="1">
      <alignment horizontal="right"/>
      <protection/>
    </xf>
    <xf numFmtId="184" fontId="7" fillId="0" borderId="0" xfId="63" applyNumberFormat="1" applyFont="1" applyAlignment="1">
      <alignment horizontal="center"/>
      <protection/>
    </xf>
    <xf numFmtId="176" fontId="4" fillId="0" borderId="0" xfId="63" applyFont="1" applyAlignment="1">
      <alignment wrapText="1"/>
      <protection/>
    </xf>
    <xf numFmtId="176" fontId="48" fillId="0" borderId="0" xfId="63" applyAlignment="1">
      <alignment wrapText="1"/>
      <protection/>
    </xf>
    <xf numFmtId="176" fontId="1" fillId="0" borderId="10" xfId="63" applyFont="1" applyBorder="1" applyAlignment="1">
      <alignment horizontal="left" vertical="center" wrapText="1"/>
      <protection/>
    </xf>
    <xf numFmtId="176" fontId="1" fillId="0" borderId="0" xfId="63" applyFont="1" applyBorder="1" applyAlignment="1">
      <alignment horizontal="left" vertical="center" wrapText="1"/>
      <protection/>
    </xf>
    <xf numFmtId="0" fontId="39" fillId="0" borderId="0" xfId="67" applyFont="1" applyFill="1" applyBorder="1" applyAlignment="1">
      <alignment horizontal="center"/>
      <protection/>
    </xf>
    <xf numFmtId="0" fontId="7" fillId="0" borderId="0" xfId="0" applyFont="1" applyAlignment="1">
      <alignment horizontal="right"/>
    </xf>
    <xf numFmtId="0" fontId="39" fillId="34" borderId="0" xfId="67" applyFont="1" applyFill="1" applyAlignment="1">
      <alignment horizontal="center"/>
      <protection/>
    </xf>
    <xf numFmtId="0" fontId="39" fillId="34" borderId="13" xfId="67" applyFont="1" applyFill="1" applyBorder="1" applyAlignment="1">
      <alignment horizontal="center"/>
      <protection/>
    </xf>
    <xf numFmtId="0" fontId="39" fillId="34" borderId="0" xfId="67" applyFont="1" applyFill="1" applyAlignment="1">
      <alignment horizontal="center"/>
      <protection/>
    </xf>
    <xf numFmtId="0" fontId="40" fillId="0" borderId="0" xfId="67" applyFont="1" applyAlignment="1">
      <alignment horizontal="center"/>
      <protection/>
    </xf>
    <xf numFmtId="0" fontId="39" fillId="34" borderId="13" xfId="67" applyFont="1" applyFill="1" applyBorder="1" applyAlignment="1">
      <alignment horizontal="center"/>
      <protection/>
    </xf>
    <xf numFmtId="0" fontId="40" fillId="0" borderId="13" xfId="67" applyFont="1" applyBorder="1" applyAlignment="1">
      <alignment horizontal="center"/>
      <protection/>
    </xf>
    <xf numFmtId="0" fontId="40" fillId="0" borderId="13" xfId="67" applyFont="1" applyBorder="1" applyAlignment="1">
      <alignment horizontal="center"/>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_PHS398 Modular_05-09-08 (2)"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_Copy of Copy of ModBudSprdsht" xfId="64"/>
    <cellStyle name="Normal_Copy of FY06-FED" xfId="65"/>
    <cellStyle name="Normal_ModBudSprdsht-cal-fringes" xfId="66"/>
    <cellStyle name="Normal_person_months_conversion_chart_rev" xfId="67"/>
    <cellStyle name="Note" xfId="68"/>
    <cellStyle name="Output" xfId="69"/>
    <cellStyle name="Percent" xfId="70"/>
    <cellStyle name="Percent 2" xfId="71"/>
    <cellStyle name="Percent 3" xfId="72"/>
    <cellStyle name="Title" xfId="73"/>
    <cellStyle name="Total" xfId="74"/>
    <cellStyle name="Warning Text" xfId="75"/>
  </cellStyles>
  <dxfs count="5">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ont>
        <b/>
        <i val="0"/>
        <color rgb="FFFFFFFF"/>
      </font>
      <fill>
        <patternFill patternType="solid">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10</xdr:row>
      <xdr:rowOff>38100</xdr:rowOff>
    </xdr:from>
    <xdr:to>
      <xdr:col>0</xdr:col>
      <xdr:colOff>190500</xdr:colOff>
      <xdr:row>11</xdr:row>
      <xdr:rowOff>9525</xdr:rowOff>
    </xdr:to>
    <xdr:pic>
      <xdr:nvPicPr>
        <xdr:cNvPr id="1" name="Picture 1" descr="BD21298_"/>
        <xdr:cNvPicPr preferRelativeResize="1">
          <a:picLocks noChangeAspect="1"/>
        </xdr:cNvPicPr>
      </xdr:nvPicPr>
      <xdr:blipFill>
        <a:blip r:embed="rId1"/>
        <a:stretch>
          <a:fillRect/>
        </a:stretch>
      </xdr:blipFill>
      <xdr:spPr>
        <a:xfrm>
          <a:off x="66675" y="1704975"/>
          <a:ext cx="123825" cy="123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rs.uc.edu/file_xls/PHS398%20Modular%20(09-04)%20BETA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rs.uc.edu/file_xls/ModBudSprdsht-cal-fring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E"/>
      <sheetName val="Mod_Budget"/>
      <sheetName val="CHKLST"/>
      <sheetName val="Overview"/>
      <sheetName val="Budget Worksheet"/>
      <sheetName val="RATES"/>
      <sheetName val="NIH cap, other salary info"/>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Ref"/>
    </sheetNames>
    <sheetDataSet>
      <sheetData sheetId="1">
        <row r="4">
          <cell r="C4">
            <v>1.03</v>
          </cell>
        </row>
        <row r="5">
          <cell r="C5">
            <v>1.03</v>
          </cell>
        </row>
        <row r="6">
          <cell r="C6">
            <v>1.03</v>
          </cell>
        </row>
        <row r="7">
          <cell r="C7">
            <v>1.03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00390625" defaultRowHeight="15.75"/>
  <sheetData>
    <row r="1" s="77" customFormat="1" ht="18.75">
      <c r="A1" s="77" t="s">
        <v>105</v>
      </c>
    </row>
    <row r="3" s="71" customFormat="1" ht="15.75">
      <c r="A3" s="71" t="s">
        <v>98</v>
      </c>
    </row>
    <row r="4" ht="15.75">
      <c r="A4" t="s">
        <v>72</v>
      </c>
    </row>
    <row r="5" ht="15.75">
      <c r="B5" t="s">
        <v>80</v>
      </c>
    </row>
    <row r="6" spans="1:2" ht="19.5">
      <c r="A6" s="89" t="s">
        <v>107</v>
      </c>
      <c r="B6" s="94" t="s">
        <v>106</v>
      </c>
    </row>
    <row r="7" spans="1:2" ht="19.5">
      <c r="A7" s="95"/>
      <c r="B7" s="71" t="s">
        <v>120</v>
      </c>
    </row>
    <row r="9" ht="15.75">
      <c r="A9" t="s">
        <v>109</v>
      </c>
    </row>
    <row r="10" ht="15.75">
      <c r="B10" t="s">
        <v>206</v>
      </c>
    </row>
    <row r="11" ht="15.75">
      <c r="C11" t="s">
        <v>207</v>
      </c>
    </row>
    <row r="12" ht="15.75">
      <c r="B12" t="s">
        <v>208</v>
      </c>
    </row>
    <row r="13" ht="15.75">
      <c r="B13" t="s">
        <v>81</v>
      </c>
    </row>
    <row r="14" ht="15.75">
      <c r="B14" t="s">
        <v>82</v>
      </c>
    </row>
    <row r="15" ht="15.75">
      <c r="B15" t="s">
        <v>110</v>
      </c>
    </row>
    <row r="17" ht="15.75">
      <c r="B17" t="s">
        <v>83</v>
      </c>
    </row>
    <row r="18" ht="15.75">
      <c r="C18" t="s">
        <v>84</v>
      </c>
    </row>
    <row r="20" ht="15.75">
      <c r="B20" t="s">
        <v>99</v>
      </c>
    </row>
    <row r="21" ht="15.75">
      <c r="C21" t="s">
        <v>111</v>
      </c>
    </row>
    <row r="22" ht="15.75">
      <c r="C22" s="71" t="s">
        <v>112</v>
      </c>
    </row>
    <row r="23" ht="15.75">
      <c r="C23" s="71"/>
    </row>
    <row r="24" ht="15.75">
      <c r="B24" t="s">
        <v>117</v>
      </c>
    </row>
    <row r="25" ht="15.75">
      <c r="C25" s="71" t="s">
        <v>113</v>
      </c>
    </row>
    <row r="27" ht="15.75">
      <c r="B27" t="s">
        <v>85</v>
      </c>
    </row>
    <row r="29" spans="2:12" ht="15.75" customHeight="1">
      <c r="B29" s="290" t="s">
        <v>121</v>
      </c>
      <c r="C29" s="290"/>
      <c r="D29" s="290"/>
      <c r="E29" s="290"/>
      <c r="F29" s="290"/>
      <c r="G29" s="290"/>
      <c r="H29" s="290"/>
      <c r="I29" s="290"/>
      <c r="J29" s="290"/>
      <c r="K29" s="290"/>
      <c r="L29" s="290"/>
    </row>
    <row r="30" spans="2:12" ht="15.75">
      <c r="B30" s="290"/>
      <c r="C30" s="290"/>
      <c r="D30" s="290"/>
      <c r="E30" s="290"/>
      <c r="F30" s="290"/>
      <c r="G30" s="290"/>
      <c r="H30" s="290"/>
      <c r="I30" s="290"/>
      <c r="J30" s="290"/>
      <c r="K30" s="290"/>
      <c r="L30" s="290"/>
    </row>
    <row r="31" spans="2:12" ht="15.75" hidden="1">
      <c r="B31" s="290"/>
      <c r="C31" s="290"/>
      <c r="D31" s="290"/>
      <c r="E31" s="290"/>
      <c r="F31" s="290"/>
      <c r="G31" s="290"/>
      <c r="H31" s="290"/>
      <c r="I31" s="290"/>
      <c r="J31" s="290"/>
      <c r="K31" s="290"/>
      <c r="L31" s="290"/>
    </row>
    <row r="32" spans="2:12" ht="15.75">
      <c r="B32" s="90"/>
      <c r="C32" s="90"/>
      <c r="D32" s="90"/>
      <c r="E32" s="90"/>
      <c r="F32" s="90"/>
      <c r="G32" s="90"/>
      <c r="H32" s="90"/>
      <c r="I32" s="90"/>
      <c r="J32" s="90"/>
      <c r="K32" s="90"/>
      <c r="L32" s="90"/>
    </row>
    <row r="33" ht="15.75">
      <c r="B33" t="s">
        <v>114</v>
      </c>
    </row>
    <row r="34" ht="15.75">
      <c r="B34" t="s">
        <v>116</v>
      </c>
    </row>
    <row r="35" ht="15.75">
      <c r="C35" s="71" t="s">
        <v>73</v>
      </c>
    </row>
    <row r="36" spans="11:13" ht="15.75">
      <c r="K36" s="291">
        <f>'RATES-Fed'!Q67</f>
        <v>0</v>
      </c>
      <c r="L36" s="291"/>
      <c r="M36" s="291"/>
    </row>
    <row r="38" spans="2:12" ht="15.75">
      <c r="B38" s="290" t="s">
        <v>115</v>
      </c>
      <c r="C38" s="290"/>
      <c r="D38" s="290"/>
      <c r="E38" s="290"/>
      <c r="F38" s="290"/>
      <c r="G38" s="290"/>
      <c r="H38" s="290"/>
      <c r="I38" s="290"/>
      <c r="J38" s="290"/>
      <c r="K38" s="290"/>
      <c r="L38" s="290"/>
    </row>
    <row r="39" spans="2:12" ht="15.75">
      <c r="B39" s="290"/>
      <c r="C39" s="290"/>
      <c r="D39" s="290"/>
      <c r="E39" s="290"/>
      <c r="F39" s="290"/>
      <c r="G39" s="290"/>
      <c r="H39" s="290"/>
      <c r="I39" s="290"/>
      <c r="J39" s="290"/>
      <c r="K39" s="290"/>
      <c r="L39" s="290"/>
    </row>
    <row r="40" spans="2:12" ht="15.75">
      <c r="B40" s="90"/>
      <c r="C40" s="90"/>
      <c r="D40" s="90"/>
      <c r="E40" s="90"/>
      <c r="F40" s="90"/>
      <c r="G40" s="90"/>
      <c r="H40" s="90"/>
      <c r="I40" s="90"/>
      <c r="J40" s="90"/>
      <c r="K40" s="90"/>
      <c r="L40" s="90"/>
    </row>
    <row r="41" spans="2:12" ht="15.75">
      <c r="B41" s="290" t="s">
        <v>118</v>
      </c>
      <c r="C41" s="290"/>
      <c r="D41" s="290"/>
      <c r="E41" s="290"/>
      <c r="F41" s="290"/>
      <c r="G41" s="290"/>
      <c r="H41" s="290"/>
      <c r="I41" s="290"/>
      <c r="J41" s="290"/>
      <c r="K41" s="290"/>
      <c r="L41" s="90"/>
    </row>
    <row r="42" spans="2:12" ht="15.75">
      <c r="B42" s="90"/>
      <c r="C42" s="90"/>
      <c r="D42" s="90"/>
      <c r="E42" s="90"/>
      <c r="F42" s="90"/>
      <c r="G42" s="90"/>
      <c r="H42" s="90"/>
      <c r="I42" s="90"/>
      <c r="J42" s="90"/>
      <c r="K42" s="90"/>
      <c r="L42" s="90"/>
    </row>
    <row r="43" ht="15.75">
      <c r="B43" t="s">
        <v>74</v>
      </c>
    </row>
    <row r="45" ht="15.75">
      <c r="B45" t="s">
        <v>75</v>
      </c>
    </row>
    <row r="47" ht="15.75">
      <c r="B47" t="s">
        <v>76</v>
      </c>
    </row>
    <row r="49" ht="15.75">
      <c r="B49" t="s">
        <v>77</v>
      </c>
    </row>
    <row r="50" ht="15.75">
      <c r="B50" t="s">
        <v>78</v>
      </c>
    </row>
    <row r="52" ht="15.75">
      <c r="B52" t="s">
        <v>79</v>
      </c>
    </row>
    <row r="53" ht="15.75">
      <c r="B53" s="71" t="s">
        <v>119</v>
      </c>
    </row>
    <row r="71" spans="11:13" ht="15.75">
      <c r="K71" s="291">
        <f>'RATES-Fed'!Q67</f>
        <v>0</v>
      </c>
      <c r="L71" s="291"/>
      <c r="M71" s="291"/>
    </row>
  </sheetData>
  <sheetProtection/>
  <mergeCells count="5">
    <mergeCell ref="B29:L31"/>
    <mergeCell ref="B38:L39"/>
    <mergeCell ref="B41:K41"/>
    <mergeCell ref="K36:M36"/>
    <mergeCell ref="K71:M71"/>
  </mergeCells>
  <printOptions/>
  <pageMargins left="0.49" right="0.51" top="0.49" bottom="0.5" header="0.5" footer="0.5"/>
  <pageSetup horizontalDpi="300" verticalDpi="300" orientation="landscape" r:id="rId1"/>
</worksheet>
</file>

<file path=xl/worksheets/sheet10.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10.00390625" defaultRowHeight="15.75"/>
  <cols>
    <col min="1" max="4" width="10.00390625" style="87" customWidth="1"/>
    <col min="5" max="6" width="10.875" style="87" customWidth="1"/>
    <col min="7" max="8" width="10.00390625" style="87" customWidth="1"/>
    <col min="9" max="9" width="10.875" style="87" customWidth="1"/>
    <col min="10" max="16384" width="10.00390625" style="87" customWidth="1"/>
  </cols>
  <sheetData>
    <row r="1" ht="15">
      <c r="B1" s="101" t="s">
        <v>134</v>
      </c>
    </row>
    <row r="2" spans="5:8" ht="15">
      <c r="E2" s="102"/>
      <c r="F2" s="100"/>
      <c r="H2" s="100"/>
    </row>
    <row r="3" spans="5:8" ht="15">
      <c r="E3" s="102"/>
      <c r="F3" s="100"/>
      <c r="H3" s="100"/>
    </row>
    <row r="4" spans="5:8" ht="15">
      <c r="E4" s="102"/>
      <c r="F4" s="100"/>
      <c r="H4" s="100"/>
    </row>
    <row r="5" spans="5:8" ht="15">
      <c r="E5" s="102"/>
      <c r="F5" s="100"/>
      <c r="H5" s="100"/>
    </row>
    <row r="6" spans="5:8" ht="15">
      <c r="E6" s="102"/>
      <c r="F6" s="100"/>
      <c r="H6" s="100"/>
    </row>
    <row r="7" spans="8:9" ht="15">
      <c r="H7" s="100"/>
      <c r="I7" s="100"/>
    </row>
    <row r="8" ht="15">
      <c r="H8" s="100"/>
    </row>
    <row r="9" spans="1:4" ht="15">
      <c r="A9" s="100"/>
      <c r="C9" s="100" t="s">
        <v>131</v>
      </c>
      <c r="D9" s="100" t="s">
        <v>133</v>
      </c>
    </row>
    <row r="10" spans="3:4" ht="15">
      <c r="C10" s="100" t="s">
        <v>130</v>
      </c>
      <c r="D10" s="100" t="s">
        <v>132</v>
      </c>
    </row>
    <row r="11" spans="1:4" ht="15">
      <c r="A11" s="100"/>
      <c r="C11" s="100"/>
      <c r="D11" s="100"/>
    </row>
    <row r="12" spans="3:4" ht="15">
      <c r="C12" s="100"/>
      <c r="D12" s="100"/>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P88"/>
  <sheetViews>
    <sheetView showGridLines="0" zoomScale="75" zoomScaleNormal="75" workbookViewId="0" topLeftCell="A1">
      <selection activeCell="K40" sqref="K40"/>
    </sheetView>
  </sheetViews>
  <sheetFormatPr defaultColWidth="9.625" defaultRowHeight="15.75"/>
  <cols>
    <col min="1" max="1" width="2.625" style="0" customWidth="1"/>
    <col min="2" max="2" width="31.00390625" style="0" bestFit="1" customWidth="1"/>
    <col min="3" max="3" width="20.50390625" style="0" customWidth="1"/>
    <col min="4" max="4" width="16.125" style="0" customWidth="1"/>
    <col min="5" max="5" width="8.75390625" style="0" customWidth="1"/>
    <col min="6" max="6" width="7.625" style="0" customWidth="1"/>
    <col min="7" max="7" width="9.875" style="0" customWidth="1"/>
    <col min="8" max="8" width="7.25390625" style="0" customWidth="1"/>
    <col min="9" max="9" width="7.25390625" style="0" hidden="1" customWidth="1"/>
    <col min="10" max="10" width="13.75390625" style="0" customWidth="1"/>
    <col min="11" max="11" width="8.125" style="166" bestFit="1" customWidth="1"/>
    <col min="12" max="12" width="10.125" style="185" bestFit="1" customWidth="1"/>
    <col min="13" max="13" width="14.625" style="0" customWidth="1"/>
    <col min="14" max="14" width="2.625" style="0" customWidth="1"/>
  </cols>
  <sheetData>
    <row r="1" spans="1:11" ht="18.75">
      <c r="A1" s="17" t="s">
        <v>0</v>
      </c>
      <c r="B1" s="18"/>
      <c r="C1" s="18"/>
      <c r="D1" s="18"/>
      <c r="E1" s="18"/>
      <c r="F1" s="18"/>
      <c r="G1" s="18"/>
      <c r="H1" s="18"/>
      <c r="I1" s="18"/>
      <c r="J1" s="19"/>
      <c r="K1" s="152"/>
    </row>
    <row r="2" spans="1:12" ht="18.75">
      <c r="A2" s="17" t="s">
        <v>217</v>
      </c>
      <c r="B2" s="18"/>
      <c r="C2" s="18"/>
      <c r="D2" s="18"/>
      <c r="E2" s="18"/>
      <c r="F2" s="18"/>
      <c r="G2" s="18"/>
      <c r="H2" s="18"/>
      <c r="I2" s="18"/>
      <c r="J2" s="19"/>
      <c r="K2" s="152"/>
      <c r="L2" s="173"/>
    </row>
    <row r="3" spans="1:13" ht="9.75" customHeight="1">
      <c r="A3" s="10" t="s">
        <v>1</v>
      </c>
      <c r="B3" s="1"/>
      <c r="J3" s="11" t="s">
        <v>1</v>
      </c>
      <c r="K3" s="153"/>
      <c r="L3" s="174"/>
      <c r="M3" s="8"/>
    </row>
    <row r="4" spans="1:15" ht="15.75">
      <c r="A4" s="22" t="s">
        <v>2</v>
      </c>
      <c r="B4" s="1"/>
      <c r="D4" s="10" t="s">
        <v>71</v>
      </c>
      <c r="G4" s="3"/>
      <c r="I4" s="198" t="s">
        <v>71</v>
      </c>
      <c r="J4" s="20" t="s">
        <v>3</v>
      </c>
      <c r="K4" s="295" t="s">
        <v>71</v>
      </c>
      <c r="L4" s="296"/>
      <c r="M4" s="296"/>
      <c r="N4" s="296"/>
      <c r="O4" s="297"/>
    </row>
    <row r="5" spans="1:15" ht="18.75" customHeight="1">
      <c r="A5" s="22" t="s">
        <v>4</v>
      </c>
      <c r="B5" s="1"/>
      <c r="D5" s="10" t="s">
        <v>71</v>
      </c>
      <c r="E5" s="3"/>
      <c r="F5" s="3"/>
      <c r="H5" s="38"/>
      <c r="I5" s="200"/>
      <c r="K5" s="298"/>
      <c r="L5" s="299"/>
      <c r="M5" s="299"/>
      <c r="N5" s="299"/>
      <c r="O5" s="300"/>
    </row>
    <row r="6" spans="1:13" ht="15.75">
      <c r="A6" s="14"/>
      <c r="B6" s="22" t="s">
        <v>5</v>
      </c>
      <c r="D6" s="73">
        <f>'RATES-Fed'!E2</f>
        <v>42917</v>
      </c>
      <c r="E6" s="12" t="s">
        <v>6</v>
      </c>
      <c r="F6" s="12"/>
      <c r="G6" s="73">
        <f>'RATES-Fed'!G2</f>
        <v>44742</v>
      </c>
      <c r="H6" s="4"/>
      <c r="I6" s="4"/>
      <c r="J6" s="2"/>
      <c r="K6" s="154"/>
      <c r="L6" s="175"/>
      <c r="M6" s="8"/>
    </row>
    <row r="7" spans="5:14" ht="7.5" customHeight="1">
      <c r="E7" s="3"/>
      <c r="F7" s="3"/>
      <c r="G7" s="1"/>
      <c r="H7" s="1"/>
      <c r="I7" s="1"/>
      <c r="J7" s="16" t="s">
        <v>1</v>
      </c>
      <c r="K7" s="153"/>
      <c r="L7" s="174"/>
      <c r="M7" s="8"/>
      <c r="N7" s="1"/>
    </row>
    <row r="8" spans="1:14" ht="15.75">
      <c r="A8" s="21"/>
      <c r="B8" s="145" t="s">
        <v>10</v>
      </c>
      <c r="C8" s="21"/>
      <c r="D8" s="21"/>
      <c r="E8" s="21"/>
      <c r="F8" s="21"/>
      <c r="G8" s="21"/>
      <c r="H8" s="21"/>
      <c r="I8" s="21"/>
      <c r="J8" s="292" t="s">
        <v>21</v>
      </c>
      <c r="K8" s="293"/>
      <c r="L8" s="294"/>
      <c r="M8" s="171" t="s">
        <v>8</v>
      </c>
      <c r="N8" s="21"/>
    </row>
    <row r="9" spans="1:14" s="147" customFormat="1" ht="15.75">
      <c r="A9" s="145" t="s">
        <v>9</v>
      </c>
      <c r="B9" s="33" t="s">
        <v>277</v>
      </c>
      <c r="C9" s="145"/>
      <c r="D9" s="145"/>
      <c r="E9" s="145"/>
      <c r="F9" s="145"/>
      <c r="G9" s="145"/>
      <c r="H9" s="145"/>
      <c r="I9" s="145"/>
      <c r="J9" s="189" t="s">
        <v>210</v>
      </c>
      <c r="K9" s="155" t="s">
        <v>211</v>
      </c>
      <c r="L9" s="145" t="s">
        <v>212</v>
      </c>
      <c r="M9" s="146"/>
      <c r="N9" s="145"/>
    </row>
    <row r="10" spans="1:14" ht="15.75">
      <c r="A10" s="1"/>
      <c r="C10" s="24"/>
      <c r="D10" s="24" t="s">
        <v>103</v>
      </c>
      <c r="E10" s="1" t="s">
        <v>12</v>
      </c>
      <c r="F10" s="41" t="s">
        <v>129</v>
      </c>
      <c r="G10" s="41" t="s">
        <v>13</v>
      </c>
      <c r="H10" s="1"/>
      <c r="I10" s="1"/>
      <c r="J10" s="190"/>
      <c r="K10" s="153"/>
      <c r="L10" s="143"/>
      <c r="M10" s="2">
        <f>IF(SUM(J10:L10)=0,"",SUM(J10:L10))</f>
      </c>
      <c r="N10" s="1"/>
    </row>
    <row r="11" spans="1:14" ht="15.75">
      <c r="A11" s="1"/>
      <c r="B11" s="1" t="s">
        <v>14</v>
      </c>
      <c r="C11" s="10" t="str">
        <f>D5</f>
        <v>name</v>
      </c>
      <c r="D11" s="140" t="s">
        <v>131</v>
      </c>
      <c r="E11" s="70">
        <v>0</v>
      </c>
      <c r="F11" s="99">
        <f aca="true" t="shared" si="0" ref="F11:F17">IF(D11="CAL",(52*E11/4.3333),(IF(D11="ACAD",(32*E11/4.33333),IF(D11="SUMR",(14*E11/4.33333),IF(D11="PT",(0),0)))))</f>
        <v>0</v>
      </c>
      <c r="G11" s="69">
        <v>0</v>
      </c>
      <c r="J11" s="187">
        <f>ROUND(G11*E11,0)</f>
        <v>0</v>
      </c>
      <c r="K11" s="156">
        <f>ROUND(J11*'RATES-Fed'!E38,0)</f>
        <v>0</v>
      </c>
      <c r="L11" s="67">
        <f>ROUND(K11+J11,0)</f>
        <v>0</v>
      </c>
      <c r="M11" s="42">
        <f>SUM(L11)</f>
        <v>0</v>
      </c>
      <c r="N11" s="1"/>
    </row>
    <row r="12" spans="1:14" ht="15.75">
      <c r="A12" s="1"/>
      <c r="B12" s="1" t="s">
        <v>14</v>
      </c>
      <c r="C12" s="3"/>
      <c r="D12" s="140" t="str">
        <f>IF(D11="ACAD",("SUMR"),"")</f>
        <v>SUMR</v>
      </c>
      <c r="E12" s="70">
        <v>0</v>
      </c>
      <c r="F12" s="99">
        <f t="shared" si="0"/>
        <v>0</v>
      </c>
      <c r="G12" s="69">
        <f>+G11*0.4375</f>
        <v>0</v>
      </c>
      <c r="J12" s="187">
        <f aca="true" t="shared" si="1" ref="J12:J17">ROUND(G12*E12,0)</f>
        <v>0</v>
      </c>
      <c r="K12" s="156">
        <f>ROUND(J12*'RATES-Fed'!E38,0)</f>
        <v>0</v>
      </c>
      <c r="L12" s="67">
        <f aca="true" t="shared" si="2" ref="L12:L17">ROUND(K12+J12,0)</f>
        <v>0</v>
      </c>
      <c r="M12" s="42">
        <f aca="true" t="shared" si="3" ref="M12:M17">SUM(L12)</f>
        <v>0</v>
      </c>
      <c r="N12" s="1"/>
    </row>
    <row r="13" spans="1:14" ht="15.75">
      <c r="A13" s="1"/>
      <c r="B13" s="1" t="s">
        <v>15</v>
      </c>
      <c r="C13" s="3"/>
      <c r="D13" s="140" t="s">
        <v>131</v>
      </c>
      <c r="E13" s="70">
        <v>0</v>
      </c>
      <c r="F13" s="99">
        <f t="shared" si="0"/>
        <v>0</v>
      </c>
      <c r="G13" s="69">
        <v>0</v>
      </c>
      <c r="J13" s="187">
        <f t="shared" si="1"/>
        <v>0</v>
      </c>
      <c r="K13" s="156">
        <f>ROUND(J13*'RATES-Fed'!E38,0)</f>
        <v>0</v>
      </c>
      <c r="L13" s="67">
        <f t="shared" si="2"/>
        <v>0</v>
      </c>
      <c r="M13" s="42">
        <f t="shared" si="3"/>
        <v>0</v>
      </c>
      <c r="N13" s="1"/>
    </row>
    <row r="14" spans="1:13" ht="15.75">
      <c r="A14" s="1"/>
      <c r="B14" s="1"/>
      <c r="C14" s="3"/>
      <c r="D14" s="140" t="str">
        <f>IF(D13="ACAD",("SUMR"),"")</f>
        <v>SUMR</v>
      </c>
      <c r="E14" s="70">
        <v>0</v>
      </c>
      <c r="F14" s="99">
        <f t="shared" si="0"/>
        <v>0</v>
      </c>
      <c r="G14" s="69">
        <f>+G13*0.4375</f>
        <v>0</v>
      </c>
      <c r="J14" s="187">
        <f t="shared" si="1"/>
        <v>0</v>
      </c>
      <c r="K14" s="156">
        <f>ROUND(J14*'RATES-Fed'!E38,0)</f>
        <v>0</v>
      </c>
      <c r="L14" s="67">
        <f t="shared" si="2"/>
        <v>0</v>
      </c>
      <c r="M14" s="42">
        <f t="shared" si="3"/>
        <v>0</v>
      </c>
    </row>
    <row r="15" spans="1:14" ht="15.75">
      <c r="A15" s="1"/>
      <c r="B15" s="1" t="s">
        <v>15</v>
      </c>
      <c r="C15" s="3"/>
      <c r="D15" s="140" t="s">
        <v>130</v>
      </c>
      <c r="E15" s="70">
        <v>0</v>
      </c>
      <c r="F15" s="99">
        <f t="shared" si="0"/>
        <v>0</v>
      </c>
      <c r="G15" s="69">
        <v>0</v>
      </c>
      <c r="J15" s="187">
        <f t="shared" si="1"/>
        <v>0</v>
      </c>
      <c r="K15" s="156">
        <f>ROUND(J15*'RATES-Fed'!E38,0)</f>
        <v>0</v>
      </c>
      <c r="L15" s="67">
        <f t="shared" si="2"/>
        <v>0</v>
      </c>
      <c r="M15" s="42">
        <f t="shared" si="3"/>
        <v>0</v>
      </c>
      <c r="N15" s="1"/>
    </row>
    <row r="16" spans="1:14" ht="15.75">
      <c r="A16" s="1"/>
      <c r="B16" s="1" t="s">
        <v>15</v>
      </c>
      <c r="C16" s="3"/>
      <c r="D16" s="140" t="s">
        <v>130</v>
      </c>
      <c r="E16" s="70">
        <v>0</v>
      </c>
      <c r="F16" s="99">
        <f t="shared" si="0"/>
        <v>0</v>
      </c>
      <c r="G16" s="69">
        <v>0</v>
      </c>
      <c r="J16" s="187">
        <f t="shared" si="1"/>
        <v>0</v>
      </c>
      <c r="K16" s="156">
        <f>ROUND(J16*'RATES-Fed'!E38,0)</f>
        <v>0</v>
      </c>
      <c r="L16" s="67">
        <f t="shared" si="2"/>
        <v>0</v>
      </c>
      <c r="M16" s="42">
        <f t="shared" si="3"/>
        <v>0</v>
      </c>
      <c r="N16" s="1"/>
    </row>
    <row r="17" spans="1:13" ht="15.75">
      <c r="A17" s="1"/>
      <c r="B17" s="1" t="s">
        <v>15</v>
      </c>
      <c r="C17" s="3"/>
      <c r="D17" s="140" t="s">
        <v>130</v>
      </c>
      <c r="E17" s="70">
        <v>0</v>
      </c>
      <c r="F17" s="99">
        <f t="shared" si="0"/>
        <v>0</v>
      </c>
      <c r="G17" s="69">
        <v>0</v>
      </c>
      <c r="J17" s="201">
        <f t="shared" si="1"/>
        <v>0</v>
      </c>
      <c r="K17" s="206">
        <f>ROUND(J17*'RATES-Fed'!E38,0)</f>
        <v>0</v>
      </c>
      <c r="L17" s="207">
        <f t="shared" si="2"/>
        <v>0</v>
      </c>
      <c r="M17" s="204">
        <f t="shared" si="3"/>
        <v>0</v>
      </c>
    </row>
    <row r="18" spans="1:14" ht="15.75">
      <c r="A18" s="1"/>
      <c r="B18" s="1"/>
      <c r="C18" s="276"/>
      <c r="D18" s="25" t="s">
        <v>278</v>
      </c>
      <c r="E18" s="26"/>
      <c r="F18" s="26"/>
      <c r="G18" s="1"/>
      <c r="H18" s="1"/>
      <c r="I18" s="1"/>
      <c r="J18" s="205">
        <f>SUM(J11:J17)</f>
        <v>0</v>
      </c>
      <c r="K18" s="157">
        <f>SUM(K11:K17)</f>
        <v>0</v>
      </c>
      <c r="L18" s="46">
        <f>SUM(L11:L17)</f>
        <v>0</v>
      </c>
      <c r="M18" s="42">
        <f>SUM(M11:M17)</f>
        <v>0</v>
      </c>
      <c r="N18" s="6"/>
    </row>
    <row r="19" spans="1:14" ht="15.75">
      <c r="A19" s="276" t="s">
        <v>274</v>
      </c>
      <c r="B19" s="21" t="s">
        <v>275</v>
      </c>
      <c r="C19" s="1"/>
      <c r="D19" s="25"/>
      <c r="E19" s="26"/>
      <c r="F19" s="26"/>
      <c r="G19" s="1"/>
      <c r="H19" s="1"/>
      <c r="I19" s="1"/>
      <c r="J19" s="205"/>
      <c r="K19" s="157"/>
      <c r="L19" s="46"/>
      <c r="M19" s="42"/>
      <c r="N19" s="6"/>
    </row>
    <row r="20" spans="1:14" ht="15.75">
      <c r="A20" s="1"/>
      <c r="B20" s="1" t="s">
        <v>15</v>
      </c>
      <c r="C20" s="3"/>
      <c r="D20" s="140" t="s">
        <v>130</v>
      </c>
      <c r="E20" s="70">
        <v>0</v>
      </c>
      <c r="F20" s="99">
        <f>IF(D20="CAL",(52*E20/4.3333),(IF(D20="ACAD",(32*E20/4.33333),IF(D20="SUMR",(14*E20/4.33333),IF(D20="PT",(0),0)))))</f>
        <v>0</v>
      </c>
      <c r="G20" s="69">
        <v>0</v>
      </c>
      <c r="J20" s="187">
        <f>ROUND(G20*E20,0)</f>
        <v>0</v>
      </c>
      <c r="K20" s="156">
        <f>ROUND(J20*'RATES-Fed'!E40,0)</f>
        <v>0</v>
      </c>
      <c r="L20" s="67">
        <f>ROUND(K20+J20,0)</f>
        <v>0</v>
      </c>
      <c r="M20" s="42">
        <f>SUM(L20)</f>
        <v>0</v>
      </c>
      <c r="N20" s="1"/>
    </row>
    <row r="21" spans="1:14" ht="15.75">
      <c r="A21" s="1"/>
      <c r="B21" s="1" t="s">
        <v>15</v>
      </c>
      <c r="C21" s="3"/>
      <c r="D21" s="140" t="s">
        <v>130</v>
      </c>
      <c r="E21" s="70">
        <v>0</v>
      </c>
      <c r="F21" s="99">
        <f>IF(D21="CAL",(52*E21/4.3333),(IF(D21="ACAD",(32*E21/4.33333),IF(D21="SUMR",(14*E21/4.33333),IF(D21="PT",(0),0)))))</f>
        <v>0</v>
      </c>
      <c r="G21" s="69">
        <v>0</v>
      </c>
      <c r="J21" s="187">
        <f>ROUND(G21*E21,0)</f>
        <v>0</v>
      </c>
      <c r="K21" s="156">
        <f>ROUND(J21*'RATES-Fed'!E40,0)</f>
        <v>0</v>
      </c>
      <c r="L21" s="67">
        <f>ROUND(K21+J21,0)</f>
        <v>0</v>
      </c>
      <c r="M21" s="42">
        <f>SUM(L21)</f>
        <v>0</v>
      </c>
      <c r="N21" s="1"/>
    </row>
    <row r="22" spans="1:14" ht="15.75">
      <c r="A22" s="1"/>
      <c r="B22" s="1" t="s">
        <v>15</v>
      </c>
      <c r="C22" s="3"/>
      <c r="D22" s="140" t="s">
        <v>130</v>
      </c>
      <c r="E22" s="70">
        <v>0</v>
      </c>
      <c r="F22" s="99">
        <f>IF(D22="CAL",(52*E22/4.3333),(IF(D22="ACAD",(32*E22/4.33333),IF(D22="SUMR",(14*E22/4.33333),IF(D22="PT",(0),0)))))</f>
        <v>0</v>
      </c>
      <c r="G22" s="69">
        <v>0</v>
      </c>
      <c r="J22" s="187">
        <f>ROUND(G22*E22,0)</f>
        <v>0</v>
      </c>
      <c r="K22" s="156">
        <f>ROUND(J22*'RATES-Fed'!E40,0)</f>
        <v>0</v>
      </c>
      <c r="L22" s="67">
        <f>ROUND(K22+J22,0)</f>
        <v>0</v>
      </c>
      <c r="M22" s="42">
        <f>SUM(L22)</f>
        <v>0</v>
      </c>
      <c r="N22" s="1"/>
    </row>
    <row r="23" spans="1:13" ht="15.75">
      <c r="A23" s="1"/>
      <c r="B23" s="1" t="s">
        <v>15</v>
      </c>
      <c r="C23" s="3"/>
      <c r="D23" s="140" t="s">
        <v>130</v>
      </c>
      <c r="E23" s="70">
        <v>0</v>
      </c>
      <c r="F23" s="99">
        <f>IF(D23="CAL",(52*E23/4.3333),(IF(D23="ACAD",(32*E23/4.33333),IF(D23="SUMR",(14*E23/4.33333),IF(D23="PT",(0),0)))))</f>
        <v>0</v>
      </c>
      <c r="G23" s="69">
        <v>0</v>
      </c>
      <c r="J23" s="201">
        <f>ROUND(G23*E23,0)</f>
        <v>0</v>
      </c>
      <c r="K23" s="206">
        <f>ROUND(J23*'RATES-Fed'!E40,0)</f>
        <v>0</v>
      </c>
      <c r="L23" s="207">
        <f>ROUND(K23+J23,0)</f>
        <v>0</v>
      </c>
      <c r="M23" s="204">
        <f>SUM(L23)</f>
        <v>0</v>
      </c>
    </row>
    <row r="24" spans="1:14" ht="15.75">
      <c r="A24" s="1"/>
      <c r="B24" s="1"/>
      <c r="C24" s="1"/>
      <c r="D24" s="25" t="s">
        <v>279</v>
      </c>
      <c r="E24" s="26"/>
      <c r="F24" s="26"/>
      <c r="G24" s="1"/>
      <c r="H24" s="1"/>
      <c r="I24" s="1"/>
      <c r="J24" s="205">
        <f>SUM(J20:J23)</f>
        <v>0</v>
      </c>
      <c r="K24" s="157">
        <f>SUM(K20:K23)</f>
        <v>0</v>
      </c>
      <c r="L24" s="46">
        <f>SUM(L20:L23)</f>
        <v>0</v>
      </c>
      <c r="M24" s="42">
        <f>SUM(M20:M23)</f>
        <v>0</v>
      </c>
      <c r="N24" s="6"/>
    </row>
    <row r="25" spans="1:14" ht="7.5" customHeight="1">
      <c r="A25" s="1"/>
      <c r="B25" s="1"/>
      <c r="C25" s="1"/>
      <c r="D25" s="26"/>
      <c r="E25" s="26"/>
      <c r="F25" s="26"/>
      <c r="G25" s="1"/>
      <c r="H25" s="1"/>
      <c r="I25" s="1"/>
      <c r="J25" s="192"/>
      <c r="K25" s="157"/>
      <c r="L25" s="46"/>
      <c r="M25" s="42"/>
      <c r="N25" s="6"/>
    </row>
    <row r="26" spans="1:14" ht="15.75">
      <c r="A26" s="22" t="s">
        <v>276</v>
      </c>
      <c r="B26" s="22" t="s">
        <v>17</v>
      </c>
      <c r="C26" s="1"/>
      <c r="D26" s="26"/>
      <c r="E26" s="1"/>
      <c r="F26" s="1"/>
      <c r="G26" s="41"/>
      <c r="H26" s="1"/>
      <c r="I26" s="1"/>
      <c r="J26" s="190"/>
      <c r="K26" s="153"/>
      <c r="L26" s="143"/>
      <c r="M26" s="42"/>
      <c r="N26" s="6"/>
    </row>
    <row r="27" spans="1:14" ht="15.75">
      <c r="A27" s="1"/>
      <c r="C27" s="13" t="s">
        <v>88</v>
      </c>
      <c r="D27" s="41" t="s">
        <v>127</v>
      </c>
      <c r="E27" s="68"/>
      <c r="F27" s="68"/>
      <c r="G27" s="59"/>
      <c r="J27" s="187"/>
      <c r="K27" s="158"/>
      <c r="L27" s="50"/>
      <c r="M27" s="42"/>
      <c r="N27" s="5"/>
    </row>
    <row r="28" spans="1:14" ht="15.75">
      <c r="A28" s="1"/>
      <c r="C28" s="13"/>
      <c r="D28" s="1"/>
      <c r="E28" s="70">
        <v>0</v>
      </c>
      <c r="F28" s="98">
        <f>SUM(52*E28/4.33)</f>
        <v>0</v>
      </c>
      <c r="G28" s="69">
        <v>0</v>
      </c>
      <c r="J28" s="187">
        <f>ROUND(G28*E28,0)</f>
        <v>0</v>
      </c>
      <c r="K28" s="158">
        <f>ROUND(J28*'RATES-Fed'!E39,0)</f>
        <v>0</v>
      </c>
      <c r="L28" s="50">
        <f>SUM(J28:K28)</f>
        <v>0</v>
      </c>
      <c r="M28" s="42">
        <f>SUM(L28)</f>
        <v>0</v>
      </c>
      <c r="N28" s="5"/>
    </row>
    <row r="29" spans="1:14" ht="15.75">
      <c r="A29" s="1"/>
      <c r="C29" s="13"/>
      <c r="D29" s="1"/>
      <c r="E29" s="70">
        <v>0</v>
      </c>
      <c r="F29" s="98">
        <f>SUM(52*E29/4.33)</f>
        <v>0</v>
      </c>
      <c r="G29" s="69">
        <v>0</v>
      </c>
      <c r="J29" s="187">
        <f>ROUND(G29*E29,0)</f>
        <v>0</v>
      </c>
      <c r="K29" s="158">
        <f>ROUND(J29*'RATES-Fed'!E39,0)</f>
        <v>0</v>
      </c>
      <c r="L29" s="50">
        <f>SUM(J29:K29)</f>
        <v>0</v>
      </c>
      <c r="M29" s="42">
        <f>SUM(L29)</f>
        <v>0</v>
      </c>
      <c r="N29" s="5"/>
    </row>
    <row r="30" spans="1:14" ht="15.75">
      <c r="A30" s="1"/>
      <c r="C30" s="13"/>
      <c r="D30" s="1"/>
      <c r="E30" s="70">
        <v>0</v>
      </c>
      <c r="F30" s="98">
        <f>SUM(52*E30/4.33)</f>
        <v>0</v>
      </c>
      <c r="G30" s="69">
        <v>0</v>
      </c>
      <c r="J30" s="187">
        <f>ROUND(G30*E30,0)</f>
        <v>0</v>
      </c>
      <c r="K30" s="158">
        <f>ROUND(J30*'RATES-Fed'!E39,0)</f>
        <v>0</v>
      </c>
      <c r="L30" s="50">
        <f>SUM(J30:K30)</f>
        <v>0</v>
      </c>
      <c r="M30" s="42">
        <f>SUM(L30)</f>
        <v>0</v>
      </c>
      <c r="N30" s="5"/>
    </row>
    <row r="31" spans="1:14" ht="15.75">
      <c r="A31" s="1"/>
      <c r="C31" s="13"/>
      <c r="D31" s="1"/>
      <c r="E31" s="70">
        <v>0</v>
      </c>
      <c r="F31" s="98">
        <f>SUM(52*E31/4.33)</f>
        <v>0</v>
      </c>
      <c r="G31" s="69">
        <v>0</v>
      </c>
      <c r="J31" s="201">
        <f>ROUND(G31*E31,0)</f>
        <v>0</v>
      </c>
      <c r="K31" s="202">
        <f>ROUND(J31*'RATES-Fed'!E39,0)</f>
        <v>0</v>
      </c>
      <c r="L31" s="203">
        <f>SUM(J31:K31)</f>
        <v>0</v>
      </c>
      <c r="M31" s="204">
        <f>SUM(L31)</f>
        <v>0</v>
      </c>
      <c r="N31" s="5"/>
    </row>
    <row r="32" spans="1:14" ht="15.75">
      <c r="A32" s="1"/>
      <c r="C32" s="13"/>
      <c r="D32" s="1" t="s">
        <v>128</v>
      </c>
      <c r="E32" s="70"/>
      <c r="F32" s="70"/>
      <c r="G32" s="69"/>
      <c r="J32" s="193">
        <f>SUM(J28:J31)</f>
        <v>0</v>
      </c>
      <c r="K32" s="158">
        <f>SUM(K28:K31)</f>
        <v>0</v>
      </c>
      <c r="L32" s="50">
        <f>SUM(L28:L31)</f>
        <v>0</v>
      </c>
      <c r="M32" s="42">
        <f>SUM(M28:M31)</f>
        <v>0</v>
      </c>
      <c r="N32" s="5"/>
    </row>
    <row r="33" spans="1:14" ht="9.75" customHeight="1">
      <c r="A33" s="1"/>
      <c r="C33" s="13"/>
      <c r="D33" s="1"/>
      <c r="E33" s="70"/>
      <c r="F33" s="70"/>
      <c r="G33" s="69"/>
      <c r="J33" s="193"/>
      <c r="K33" s="158"/>
      <c r="L33" s="50"/>
      <c r="M33" s="42"/>
      <c r="N33" s="5"/>
    </row>
    <row r="34" spans="1:14" ht="15.75">
      <c r="A34" s="1"/>
      <c r="C34" s="13" t="s">
        <v>89</v>
      </c>
      <c r="D34" s="1"/>
      <c r="E34" s="70">
        <v>0</v>
      </c>
      <c r="F34" s="98">
        <f>SUM(52*E34/4.33)</f>
        <v>0</v>
      </c>
      <c r="G34" s="69">
        <v>0</v>
      </c>
      <c r="J34" s="187">
        <f>ROUND(G34*E34,0)</f>
        <v>0</v>
      </c>
      <c r="K34" s="158">
        <f>ROUND(J34*'RATES-Fed'!E43,0)</f>
        <v>0</v>
      </c>
      <c r="L34" s="50">
        <f>SUM(J34:K34)</f>
        <v>0</v>
      </c>
      <c r="M34" s="42">
        <f>SUM(L34)</f>
        <v>0</v>
      </c>
      <c r="N34" s="5"/>
    </row>
    <row r="35" spans="1:14" ht="15.75">
      <c r="A35" s="1"/>
      <c r="C35" s="13" t="s">
        <v>18</v>
      </c>
      <c r="D35" s="1"/>
      <c r="E35" s="70">
        <v>0</v>
      </c>
      <c r="F35" s="98">
        <f>SUM(52*E35/4.33)</f>
        <v>0</v>
      </c>
      <c r="G35" s="69">
        <v>0</v>
      </c>
      <c r="J35" s="187">
        <f>ROUND(G35*E35,0)</f>
        <v>0</v>
      </c>
      <c r="K35" s="158">
        <f>ROUND(J35*'RATES-Fed'!E42,0)</f>
        <v>0</v>
      </c>
      <c r="L35" s="50">
        <f>SUM(J35:K35)</f>
        <v>0</v>
      </c>
      <c r="M35" s="42">
        <f>SUM(L35)</f>
        <v>0</v>
      </c>
      <c r="N35" s="5"/>
    </row>
    <row r="36" spans="1:14" ht="15.75">
      <c r="A36" s="1"/>
      <c r="C36" s="13" t="s">
        <v>19</v>
      </c>
      <c r="D36" s="1"/>
      <c r="E36" s="70">
        <v>0</v>
      </c>
      <c r="F36" s="98">
        <f>SUM(52*E36/4.33)</f>
        <v>0</v>
      </c>
      <c r="G36" s="69">
        <v>0</v>
      </c>
      <c r="J36" s="187">
        <f>ROUND(G36*E36,0)</f>
        <v>0</v>
      </c>
      <c r="K36" s="158">
        <f>ROUND(J36*'RATES-Fed'!E42,0)</f>
        <v>0</v>
      </c>
      <c r="L36" s="50">
        <f>SUM(J36:K36)</f>
        <v>0</v>
      </c>
      <c r="M36" s="42">
        <f>SUM(L36)</f>
        <v>0</v>
      </c>
      <c r="N36" s="5"/>
    </row>
    <row r="37" spans="1:14" s="94" customFormat="1" ht="15.75">
      <c r="A37" s="143"/>
      <c r="C37" s="142" t="s">
        <v>20</v>
      </c>
      <c r="D37" s="143"/>
      <c r="E37" s="70">
        <v>0</v>
      </c>
      <c r="F37" s="98">
        <f>SUM(52*E37/4.33)</f>
        <v>0</v>
      </c>
      <c r="G37" s="69">
        <v>0</v>
      </c>
      <c r="J37" s="187">
        <f>ROUND(G37*E37,0)</f>
        <v>0</v>
      </c>
      <c r="K37" s="158">
        <f>ROUND(J37*'RATES-Fed'!E43,0)</f>
        <v>0</v>
      </c>
      <c r="L37" s="50">
        <f>SUM(J37:K37)</f>
        <v>0</v>
      </c>
      <c r="M37" s="42">
        <f>SUM(L37)</f>
        <v>0</v>
      </c>
      <c r="N37" s="150"/>
    </row>
    <row r="38" spans="1:14" s="94" customFormat="1" ht="15.75">
      <c r="A38" s="143"/>
      <c r="C38" s="142" t="s">
        <v>90</v>
      </c>
      <c r="D38" s="143"/>
      <c r="E38" s="70">
        <v>0</v>
      </c>
      <c r="F38" s="98">
        <f>SUM(52*E38/4.33)</f>
        <v>0</v>
      </c>
      <c r="G38" s="69">
        <v>0</v>
      </c>
      <c r="J38" s="201">
        <f>ROUND(G38*E38,0)</f>
        <v>0</v>
      </c>
      <c r="K38" s="202">
        <f>ROUND(J38*'RATES-Fed'!E41,0)</f>
        <v>0</v>
      </c>
      <c r="L38" s="203">
        <f>SUM(J38:K38)</f>
        <v>0</v>
      </c>
      <c r="M38" s="204">
        <f>SUM(L38)</f>
        <v>0</v>
      </c>
      <c r="N38" s="150"/>
    </row>
    <row r="39" spans="1:14" ht="15.75">
      <c r="A39" s="1"/>
      <c r="B39" s="1"/>
      <c r="C39" s="1"/>
      <c r="D39" s="188" t="s">
        <v>213</v>
      </c>
      <c r="E39" s="26"/>
      <c r="F39" s="26"/>
      <c r="G39" s="1"/>
      <c r="H39" s="1"/>
      <c r="I39" s="1"/>
      <c r="J39" s="208">
        <f>SUM(J18+J24+J32+J34+J35+J36+J37+J38)</f>
        <v>0</v>
      </c>
      <c r="K39" s="158">
        <f>SUM(K18+K24+K32+K34+K35+K36+K37+K38)</f>
        <v>0</v>
      </c>
      <c r="L39" s="50">
        <f>SUM(L34:L38)</f>
        <v>0</v>
      </c>
      <c r="M39" s="42">
        <f>SUM(M34:M38)</f>
        <v>0</v>
      </c>
      <c r="N39" s="5"/>
    </row>
    <row r="40" spans="1:14" ht="7.5" customHeight="1">
      <c r="A40" s="1"/>
      <c r="B40" s="1"/>
      <c r="C40" s="1"/>
      <c r="D40" s="26"/>
      <c r="E40" s="26"/>
      <c r="F40" s="26"/>
      <c r="G40" s="26"/>
      <c r="H40" s="26"/>
      <c r="I40" s="26"/>
      <c r="J40" s="52"/>
      <c r="K40" s="157"/>
      <c r="L40" s="176"/>
      <c r="M40" s="64" t="s">
        <v>1</v>
      </c>
      <c r="N40" s="6"/>
    </row>
    <row r="41" spans="1:14" s="31" customFormat="1" ht="15.75">
      <c r="A41" s="40" t="s">
        <v>23</v>
      </c>
      <c r="B41" s="21"/>
      <c r="D41" s="28"/>
      <c r="E41" s="28"/>
      <c r="F41" s="28"/>
      <c r="G41" s="28"/>
      <c r="H41" s="28"/>
      <c r="I41" s="28"/>
      <c r="J41" s="47">
        <f>SUM(J39+K39)</f>
        <v>0</v>
      </c>
      <c r="K41" s="159"/>
      <c r="L41" s="178"/>
      <c r="M41" s="47">
        <f>SUM(J41)</f>
        <v>0</v>
      </c>
      <c r="N41" s="29"/>
    </row>
    <row r="42" spans="1:14" ht="8.25" customHeight="1">
      <c r="A42" s="1"/>
      <c r="B42" s="1"/>
      <c r="C42" s="28"/>
      <c r="D42" s="26"/>
      <c r="E42" s="26"/>
      <c r="F42" s="26"/>
      <c r="G42" s="26"/>
      <c r="H42" s="26"/>
      <c r="I42" s="26"/>
      <c r="J42" s="52"/>
      <c r="K42" s="157"/>
      <c r="L42" s="176"/>
      <c r="M42" s="46" t="s">
        <v>1</v>
      </c>
      <c r="N42" s="6"/>
    </row>
    <row r="43" spans="1:14" ht="15.75">
      <c r="A43" s="22" t="s">
        <v>24</v>
      </c>
      <c r="B43" s="22" t="s">
        <v>25</v>
      </c>
      <c r="C43" s="21"/>
      <c r="D43" s="26"/>
      <c r="E43" s="26"/>
      <c r="F43" s="26"/>
      <c r="G43" s="26"/>
      <c r="H43" s="26"/>
      <c r="I43" s="26"/>
      <c r="J43" s="52"/>
      <c r="K43" s="157"/>
      <c r="L43" s="176"/>
      <c r="M43" s="50" t="s">
        <v>1</v>
      </c>
      <c r="N43" s="6"/>
    </row>
    <row r="44" spans="1:14" ht="15.75">
      <c r="A44" s="21"/>
      <c r="B44" s="21"/>
      <c r="C44" s="10" t="s">
        <v>26</v>
      </c>
      <c r="D44" s="30"/>
      <c r="E44" s="30"/>
      <c r="F44" s="30"/>
      <c r="G44" s="30"/>
      <c r="H44" s="30"/>
      <c r="I44" s="30"/>
      <c r="J44" s="42">
        <v>0</v>
      </c>
      <c r="K44" s="157"/>
      <c r="L44" s="176"/>
      <c r="M44" s="42">
        <f>SUM(J44:L44)</f>
        <v>0</v>
      </c>
      <c r="N44" s="6"/>
    </row>
    <row r="45" spans="1:14" ht="15.75">
      <c r="A45" s="21"/>
      <c r="B45" s="21"/>
      <c r="C45" s="10" t="s">
        <v>26</v>
      </c>
      <c r="D45" s="30"/>
      <c r="E45" s="30"/>
      <c r="F45" s="30"/>
      <c r="G45" s="30"/>
      <c r="H45" s="30"/>
      <c r="I45" s="30"/>
      <c r="J45" s="42">
        <v>0</v>
      </c>
      <c r="K45" s="157"/>
      <c r="L45" s="176"/>
      <c r="M45" s="42">
        <f>SUM(J45:L45)</f>
        <v>0</v>
      </c>
      <c r="N45" s="6"/>
    </row>
    <row r="46" spans="1:14" ht="15.75">
      <c r="A46" s="21"/>
      <c r="B46" s="21"/>
      <c r="C46" s="27" t="s">
        <v>27</v>
      </c>
      <c r="D46" s="28"/>
      <c r="E46" s="28"/>
      <c r="F46" s="28"/>
      <c r="G46" s="28"/>
      <c r="H46" s="28"/>
      <c r="I46" s="28"/>
      <c r="J46" s="53">
        <f>SUM(J44:J45)</f>
        <v>0</v>
      </c>
      <c r="K46" s="160"/>
      <c r="L46" s="179"/>
      <c r="M46" s="53">
        <f>SUM(J46:L46)</f>
        <v>0</v>
      </c>
      <c r="N46" s="29"/>
    </row>
    <row r="47" spans="1:14" ht="9" customHeight="1">
      <c r="A47" s="1"/>
      <c r="B47" s="1"/>
      <c r="C47" s="28"/>
      <c r="D47" s="26"/>
      <c r="E47" s="26"/>
      <c r="F47" s="26"/>
      <c r="G47" s="26"/>
      <c r="H47" s="26"/>
      <c r="I47" s="26"/>
      <c r="J47" s="52"/>
      <c r="K47" s="157"/>
      <c r="L47" s="176"/>
      <c r="M47" s="46"/>
      <c r="N47" s="6"/>
    </row>
    <row r="48" spans="1:14" ht="15.75">
      <c r="A48" s="22" t="s">
        <v>28</v>
      </c>
      <c r="B48" s="22" t="s">
        <v>29</v>
      </c>
      <c r="C48" s="1"/>
      <c r="D48" s="21"/>
      <c r="E48" s="21"/>
      <c r="F48" s="21"/>
      <c r="G48" s="1"/>
      <c r="H48" s="1"/>
      <c r="I48" s="1"/>
      <c r="J48" s="54" t="s">
        <v>1</v>
      </c>
      <c r="K48" s="158"/>
      <c r="L48" s="177"/>
      <c r="M48" s="45"/>
      <c r="N48" s="5"/>
    </row>
    <row r="49" spans="1:14" ht="15.75">
      <c r="A49" s="21"/>
      <c r="B49" s="21"/>
      <c r="C49" s="13" t="s">
        <v>30</v>
      </c>
      <c r="D49" s="10" t="s">
        <v>26</v>
      </c>
      <c r="E49" s="31"/>
      <c r="F49" s="31"/>
      <c r="J49" s="42">
        <v>0</v>
      </c>
      <c r="K49" s="158"/>
      <c r="L49" s="177"/>
      <c r="M49" s="42">
        <f>SUM(J49:L49)</f>
        <v>0</v>
      </c>
      <c r="N49" s="5"/>
    </row>
    <row r="50" spans="1:14" ht="15.75">
      <c r="A50" s="21"/>
      <c r="B50" s="21"/>
      <c r="C50" s="13" t="s">
        <v>31</v>
      </c>
      <c r="D50" s="10" t="s">
        <v>26</v>
      </c>
      <c r="E50" s="31"/>
      <c r="F50" s="31"/>
      <c r="J50" s="42">
        <v>0</v>
      </c>
      <c r="K50" s="158"/>
      <c r="L50" s="177"/>
      <c r="M50" s="42">
        <f>SUM(J50:L50)</f>
        <v>0</v>
      </c>
      <c r="N50" s="5"/>
    </row>
    <row r="51" spans="1:14" s="31" customFormat="1" ht="15.75">
      <c r="A51" s="21"/>
      <c r="B51" s="21"/>
      <c r="C51" s="27" t="s">
        <v>32</v>
      </c>
      <c r="D51" s="28"/>
      <c r="E51" s="28"/>
      <c r="F51" s="28"/>
      <c r="G51" s="28"/>
      <c r="H51" s="28"/>
      <c r="I51" s="28"/>
      <c r="J51" s="53">
        <f>SUM(J49:J50)</f>
        <v>0</v>
      </c>
      <c r="K51" s="160"/>
      <c r="L51" s="179"/>
      <c r="M51" s="55">
        <f>SUM(J51:L51)</f>
        <v>0</v>
      </c>
      <c r="N51" s="29"/>
    </row>
    <row r="52" spans="1:14" ht="10.5" customHeight="1">
      <c r="A52" s="1"/>
      <c r="B52" s="1"/>
      <c r="C52" s="28"/>
      <c r="D52" s="26"/>
      <c r="E52" s="26"/>
      <c r="F52" s="26"/>
      <c r="G52" s="26"/>
      <c r="H52" s="26"/>
      <c r="I52" s="26"/>
      <c r="J52" s="52"/>
      <c r="K52" s="157"/>
      <c r="L52" s="176"/>
      <c r="M52" s="42"/>
      <c r="N52" s="6"/>
    </row>
    <row r="53" spans="1:14" ht="15.75">
      <c r="A53" s="22" t="s">
        <v>33</v>
      </c>
      <c r="B53" s="22" t="s">
        <v>34</v>
      </c>
      <c r="C53" s="21"/>
      <c r="D53" s="21"/>
      <c r="E53" s="21"/>
      <c r="F53" s="21"/>
      <c r="G53" s="1"/>
      <c r="H53" s="1"/>
      <c r="I53" s="1"/>
      <c r="J53" s="54" t="s">
        <v>1</v>
      </c>
      <c r="K53" s="158"/>
      <c r="L53" s="177"/>
      <c r="M53" s="42"/>
      <c r="N53" s="5"/>
    </row>
    <row r="54" spans="1:14" ht="15.75">
      <c r="A54" s="21"/>
      <c r="B54" s="21"/>
      <c r="C54" s="13" t="s">
        <v>35</v>
      </c>
      <c r="D54" s="3"/>
      <c r="E54" s="31"/>
      <c r="F54" s="31"/>
      <c r="J54" s="42">
        <v>0</v>
      </c>
      <c r="K54" s="158"/>
      <c r="L54" s="177"/>
      <c r="M54" s="42">
        <f aca="true" t="shared" si="4" ref="M54:M65">SUM(J54:L54)</f>
        <v>0</v>
      </c>
      <c r="N54" s="5"/>
    </row>
    <row r="55" spans="1:14" ht="15.75">
      <c r="A55" s="21"/>
      <c r="B55" s="21"/>
      <c r="C55" s="13" t="s">
        <v>219</v>
      </c>
      <c r="D55" s="3"/>
      <c r="E55" s="31"/>
      <c r="F55" s="31"/>
      <c r="J55" s="42">
        <v>0</v>
      </c>
      <c r="K55" s="158"/>
      <c r="L55" s="177"/>
      <c r="M55" s="42">
        <f t="shared" si="4"/>
        <v>0</v>
      </c>
      <c r="N55" s="5"/>
    </row>
    <row r="56" spans="1:14" ht="15.75">
      <c r="A56" s="21"/>
      <c r="B56" s="21"/>
      <c r="C56" s="13" t="s">
        <v>37</v>
      </c>
      <c r="D56" s="3"/>
      <c r="E56" s="31"/>
      <c r="F56" s="31"/>
      <c r="J56" s="42">
        <v>0</v>
      </c>
      <c r="K56" s="158"/>
      <c r="L56" s="177"/>
      <c r="M56" s="42">
        <f t="shared" si="4"/>
        <v>0</v>
      </c>
      <c r="N56" s="5"/>
    </row>
    <row r="57" spans="1:14" ht="15.75">
      <c r="A57" s="21"/>
      <c r="B57" s="21"/>
      <c r="C57" s="13" t="s">
        <v>38</v>
      </c>
      <c r="D57" s="3"/>
      <c r="E57" s="31"/>
      <c r="F57" s="31"/>
      <c r="J57" s="42">
        <v>0</v>
      </c>
      <c r="K57" s="158"/>
      <c r="L57" s="177"/>
      <c r="M57" s="42">
        <f t="shared" si="4"/>
        <v>0</v>
      </c>
      <c r="N57" s="5"/>
    </row>
    <row r="58" spans="1:14" ht="15.75">
      <c r="A58" s="21"/>
      <c r="B58" s="21"/>
      <c r="C58" s="235" t="s">
        <v>104</v>
      </c>
      <c r="D58" s="3"/>
      <c r="E58" s="31"/>
      <c r="F58" s="31"/>
      <c r="J58" s="42">
        <v>0</v>
      </c>
      <c r="K58" s="158"/>
      <c r="L58" s="177"/>
      <c r="M58" s="42">
        <f t="shared" si="4"/>
        <v>0</v>
      </c>
      <c r="N58" s="5"/>
    </row>
    <row r="59" spans="1:14" ht="15.75">
      <c r="A59" s="21"/>
      <c r="B59" s="21"/>
      <c r="C59" s="13" t="s">
        <v>92</v>
      </c>
      <c r="D59" s="3"/>
      <c r="E59" s="31"/>
      <c r="F59" s="31"/>
      <c r="J59" s="42">
        <v>0</v>
      </c>
      <c r="K59" s="158"/>
      <c r="L59" s="177"/>
      <c r="M59" s="42">
        <f t="shared" si="4"/>
        <v>0</v>
      </c>
      <c r="N59" s="5"/>
    </row>
    <row r="60" spans="1:14" ht="15.75">
      <c r="A60" s="21"/>
      <c r="B60" s="21"/>
      <c r="C60" s="13" t="s">
        <v>39</v>
      </c>
      <c r="D60" s="21"/>
      <c r="E60" s="21"/>
      <c r="F60" s="21"/>
      <c r="G60" s="1"/>
      <c r="H60" s="1"/>
      <c r="I60" s="1"/>
      <c r="J60" s="42">
        <v>0</v>
      </c>
      <c r="K60" s="158"/>
      <c r="L60" s="177"/>
      <c r="M60" s="42">
        <f t="shared" si="4"/>
        <v>0</v>
      </c>
      <c r="N60" s="5"/>
    </row>
    <row r="61" spans="1:15" ht="15.75">
      <c r="A61" s="21"/>
      <c r="B61" s="21"/>
      <c r="C61" s="22" t="s">
        <v>40</v>
      </c>
      <c r="D61" s="10"/>
      <c r="E61" s="31"/>
      <c r="F61" s="31"/>
      <c r="J61" s="42">
        <v>0</v>
      </c>
      <c r="K61" s="158"/>
      <c r="L61" s="177"/>
      <c r="M61" s="42">
        <f t="shared" si="4"/>
        <v>0</v>
      </c>
      <c r="N61" s="5"/>
      <c r="O61" s="76"/>
    </row>
    <row r="62" spans="1:15" ht="15.75">
      <c r="A62" s="21"/>
      <c r="B62" s="21"/>
      <c r="C62" s="63" t="s">
        <v>41</v>
      </c>
      <c r="D62" s="10"/>
      <c r="E62" s="31"/>
      <c r="F62" s="31"/>
      <c r="J62" s="42">
        <v>0</v>
      </c>
      <c r="K62" s="158"/>
      <c r="L62" s="177"/>
      <c r="M62" s="42">
        <f t="shared" si="4"/>
        <v>0</v>
      </c>
      <c r="N62" s="5"/>
      <c r="O62" s="76"/>
    </row>
    <row r="63" spans="1:15" ht="15.75">
      <c r="A63" s="21"/>
      <c r="B63" s="21"/>
      <c r="C63" s="63" t="s">
        <v>96</v>
      </c>
      <c r="D63" s="10"/>
      <c r="E63" s="31"/>
      <c r="F63" s="31"/>
      <c r="J63" s="42">
        <v>0</v>
      </c>
      <c r="K63" s="158"/>
      <c r="L63" s="177"/>
      <c r="M63" s="42">
        <f t="shared" si="4"/>
        <v>0</v>
      </c>
      <c r="N63" s="5"/>
      <c r="O63" s="76"/>
    </row>
    <row r="64" spans="1:15" ht="15.75">
      <c r="A64" s="21"/>
      <c r="B64" s="21"/>
      <c r="C64" s="63" t="s">
        <v>97</v>
      </c>
      <c r="D64" s="10"/>
      <c r="E64" s="31"/>
      <c r="F64" s="31"/>
      <c r="J64" s="42">
        <v>0</v>
      </c>
      <c r="K64" s="158"/>
      <c r="L64" s="177"/>
      <c r="M64" s="42">
        <f t="shared" si="4"/>
        <v>0</v>
      </c>
      <c r="N64" s="5"/>
      <c r="O64" s="76"/>
    </row>
    <row r="65" spans="1:15" ht="15.75">
      <c r="A65" s="40" t="s">
        <v>42</v>
      </c>
      <c r="D65" s="28"/>
      <c r="E65" s="28"/>
      <c r="F65" s="28"/>
      <c r="G65" s="28"/>
      <c r="H65" s="28"/>
      <c r="I65" s="28"/>
      <c r="J65" s="51">
        <f>SUM(J54:J64)</f>
        <v>0</v>
      </c>
      <c r="K65" s="161"/>
      <c r="L65" s="180"/>
      <c r="M65" s="43">
        <f t="shared" si="4"/>
        <v>0</v>
      </c>
      <c r="N65" s="34"/>
      <c r="O65" s="76"/>
    </row>
    <row r="66" spans="1:14" ht="7.5" customHeight="1">
      <c r="A66" s="21"/>
      <c r="B66" s="21"/>
      <c r="C66" s="26"/>
      <c r="D66" s="28"/>
      <c r="E66" s="28"/>
      <c r="F66" s="28"/>
      <c r="G66" s="26"/>
      <c r="H66" s="26"/>
      <c r="I66" s="26"/>
      <c r="J66" s="52"/>
      <c r="K66" s="157"/>
      <c r="L66" s="176"/>
      <c r="M66" s="46" t="s">
        <v>1</v>
      </c>
      <c r="N66" s="6"/>
    </row>
    <row r="67" spans="1:14" ht="16.5">
      <c r="A67" s="28"/>
      <c r="B67" s="28"/>
      <c r="C67" s="28"/>
      <c r="D67" s="21"/>
      <c r="E67" s="32" t="s">
        <v>43</v>
      </c>
      <c r="F67" s="32"/>
      <c r="G67" s="39"/>
      <c r="H67" s="39"/>
      <c r="I67" s="39"/>
      <c r="J67" s="65">
        <f>ROUND(+J65+J51+J46+J41,0)</f>
        <v>0</v>
      </c>
      <c r="K67" s="162"/>
      <c r="L67" s="181"/>
      <c r="M67" s="65">
        <f>SUM(J67:L67)</f>
        <v>0</v>
      </c>
      <c r="N67" s="34"/>
    </row>
    <row r="68" spans="1:13" ht="7.5" customHeight="1">
      <c r="A68" s="28"/>
      <c r="B68" s="28"/>
      <c r="C68" s="28"/>
      <c r="D68" s="21"/>
      <c r="E68" s="32"/>
      <c r="F68" s="32"/>
      <c r="G68" s="39"/>
      <c r="H68" s="39"/>
      <c r="I68" s="39"/>
      <c r="J68" s="66"/>
      <c r="K68" s="162"/>
      <c r="L68" s="181"/>
      <c r="M68" s="65"/>
    </row>
    <row r="69" spans="1:15" ht="15.75">
      <c r="A69" s="28"/>
      <c r="B69" s="28"/>
      <c r="C69" s="28"/>
      <c r="D69" s="21"/>
      <c r="G69" s="39"/>
      <c r="H69" s="96" t="s">
        <v>123</v>
      </c>
      <c r="I69" s="39"/>
      <c r="J69" s="74">
        <f>(IF((J61)&gt;25000,(25000),J61)+((IF((J62)&gt;25000,(25000),J62))+((IF((J63)&gt;25000,(25000),J63))+((IF((J64)&gt;25000,(25000),J64))+SUM(J67-J46-J58-J61-J62-J63-J64-J59)))))</f>
        <v>0</v>
      </c>
      <c r="K69" s="163"/>
      <c r="L69" s="182"/>
      <c r="M69" s="74">
        <f>SUM(J69:L69)</f>
        <v>0</v>
      </c>
      <c r="O69" s="76"/>
    </row>
    <row r="70" spans="1:16" ht="15.75">
      <c r="A70" s="33" t="s">
        <v>122</v>
      </c>
      <c r="B70" s="1"/>
      <c r="C70" s="1"/>
      <c r="J70" s="42"/>
      <c r="K70" s="164"/>
      <c r="L70" s="183"/>
      <c r="M70" s="50"/>
      <c r="N70" s="5"/>
      <c r="P70" s="75"/>
    </row>
    <row r="71" spans="1:14" ht="15.75">
      <c r="A71" s="13" t="s">
        <v>125</v>
      </c>
      <c r="B71" s="1"/>
      <c r="D71" s="7">
        <f>IF(AND(($E$82)="R",($E$84)="C"),('RATES-Fed'!E46),IF(AND(($E$82)="R",($E$84)="O"),('RATES-Fed'!E51),IF(AND(($E$82)="I",($E$84)="C"),('RATES-Fed'!E47),IF(AND(($E$82)="I",($E$84)="O"),('RATES-Fed'!E52),IF(AND(($E$82)="P",($E$84)="C"),('RATES-Fed'!E48),IF(AND(($E$82)="P",($E$84)="O"),('RATES-Fed'!E53),($E$83)))))))</f>
        <v>0.605</v>
      </c>
      <c r="E71" s="7"/>
      <c r="F71" s="7"/>
      <c r="G71" s="7"/>
      <c r="H71" s="7"/>
      <c r="J71" s="50">
        <f>ROUND(+D71*(J67-J46-J61-J62-J63-J64-J58-J59),0)</f>
        <v>0</v>
      </c>
      <c r="K71" s="158"/>
      <c r="L71" s="177"/>
      <c r="M71" s="50">
        <f aca="true" t="shared" si="5" ref="M71:M76">SUM(J71:L71)</f>
        <v>0</v>
      </c>
      <c r="N71" s="5"/>
    </row>
    <row r="72" spans="1:14" ht="15.75">
      <c r="A72" s="13" t="s">
        <v>44</v>
      </c>
      <c r="D72" s="7">
        <f>+D71</f>
        <v>0.605</v>
      </c>
      <c r="E72" s="7"/>
      <c r="F72" s="7"/>
      <c r="G72" s="7"/>
      <c r="H72" s="7"/>
      <c r="J72" s="50">
        <f>(IF((J61)&gt;25000,(25000),J61)*D72)</f>
        <v>0</v>
      </c>
      <c r="K72" s="158"/>
      <c r="L72" s="177"/>
      <c r="M72" s="50">
        <f t="shared" si="5"/>
        <v>0</v>
      </c>
      <c r="N72" s="5"/>
    </row>
    <row r="73" spans="1:14" ht="15.75">
      <c r="A73" s="13" t="s">
        <v>45</v>
      </c>
      <c r="D73" s="7">
        <f>+D72</f>
        <v>0.605</v>
      </c>
      <c r="E73" s="7"/>
      <c r="F73" s="7"/>
      <c r="G73" s="7"/>
      <c r="H73" s="7"/>
      <c r="J73" s="50">
        <f>(IF((J62)&gt;25000,(25000),J62)*D73)</f>
        <v>0</v>
      </c>
      <c r="K73" s="158"/>
      <c r="L73" s="177"/>
      <c r="M73" s="50">
        <f t="shared" si="5"/>
        <v>0</v>
      </c>
      <c r="N73" s="5"/>
    </row>
    <row r="74" spans="1:14" ht="15.75">
      <c r="A74" s="13" t="s">
        <v>94</v>
      </c>
      <c r="D74" s="7">
        <f>+D73</f>
        <v>0.605</v>
      </c>
      <c r="E74" s="7"/>
      <c r="F74" s="7"/>
      <c r="G74" s="7"/>
      <c r="H74" s="7"/>
      <c r="J74" s="50">
        <f>(IF((J63)&gt;25000,(25000),J63)*D74)</f>
        <v>0</v>
      </c>
      <c r="K74" s="158"/>
      <c r="L74" s="177"/>
      <c r="M74" s="50">
        <f t="shared" si="5"/>
        <v>0</v>
      </c>
      <c r="N74" s="5"/>
    </row>
    <row r="75" spans="1:14" ht="15.75">
      <c r="A75" s="13" t="s">
        <v>95</v>
      </c>
      <c r="B75" s="1"/>
      <c r="C75" s="1"/>
      <c r="D75" s="7">
        <f>+D72</f>
        <v>0.605</v>
      </c>
      <c r="E75" s="7"/>
      <c r="F75" s="7"/>
      <c r="G75" s="7"/>
      <c r="H75" s="7"/>
      <c r="J75" s="50">
        <f>(IF((J64)&gt;25000,(25000),J64)*D75)</f>
        <v>0</v>
      </c>
      <c r="K75" s="158"/>
      <c r="L75" s="177"/>
      <c r="M75" s="50">
        <f t="shared" si="5"/>
        <v>0</v>
      </c>
      <c r="N75" s="5"/>
    </row>
    <row r="76" spans="1:14" ht="15.75">
      <c r="A76" s="40" t="s">
        <v>124</v>
      </c>
      <c r="B76" s="1"/>
      <c r="C76" s="24"/>
      <c r="D76" s="35"/>
      <c r="E76" s="7"/>
      <c r="F76" s="7"/>
      <c r="G76" s="7"/>
      <c r="H76" s="7"/>
      <c r="I76" s="7"/>
      <c r="J76" s="53">
        <f>SUM(J71:J75)</f>
        <v>0</v>
      </c>
      <c r="K76" s="161"/>
      <c r="L76" s="180"/>
      <c r="M76" s="53">
        <f t="shared" si="5"/>
        <v>0</v>
      </c>
      <c r="N76" s="5"/>
    </row>
    <row r="77" spans="1:14" ht="6.75" customHeight="1">
      <c r="A77" s="40"/>
      <c r="B77" s="1"/>
      <c r="C77" s="24"/>
      <c r="D77" s="35"/>
      <c r="E77" s="7"/>
      <c r="F77" s="7"/>
      <c r="G77" s="7"/>
      <c r="H77" s="7"/>
      <c r="I77" s="7"/>
      <c r="J77" s="61"/>
      <c r="K77" s="161"/>
      <c r="L77" s="180"/>
      <c r="M77" s="62"/>
      <c r="N77" s="5"/>
    </row>
    <row r="78" spans="1:14" ht="19.5" thickBot="1">
      <c r="A78" s="40"/>
      <c r="B78" s="1"/>
      <c r="C78" s="60" t="s">
        <v>46</v>
      </c>
      <c r="D78" s="35"/>
      <c r="E78" s="7"/>
      <c r="F78" s="7"/>
      <c r="G78" s="7"/>
      <c r="H78" s="7"/>
      <c r="I78" s="7"/>
      <c r="J78" s="72">
        <f>J76+J67</f>
        <v>0</v>
      </c>
      <c r="K78" s="162"/>
      <c r="L78" s="181"/>
      <c r="M78" s="72">
        <f>SUM(J78:L78)</f>
        <v>0</v>
      </c>
      <c r="N78" s="5"/>
    </row>
    <row r="79" spans="1:14" ht="8.25" customHeight="1" thickTop="1">
      <c r="A79" s="28"/>
      <c r="B79" s="1"/>
      <c r="C79" s="35"/>
      <c r="D79" s="7"/>
      <c r="E79" s="7"/>
      <c r="F79" s="7"/>
      <c r="G79" s="7"/>
      <c r="H79" s="7"/>
      <c r="I79" s="7"/>
      <c r="J79" s="50"/>
      <c r="K79" s="158"/>
      <c r="L79" s="177"/>
      <c r="M79" s="50" t="s">
        <v>1</v>
      </c>
      <c r="N79" s="5"/>
    </row>
    <row r="80" spans="1:14" ht="9" customHeight="1">
      <c r="A80" s="1"/>
      <c r="B80" s="1"/>
      <c r="C80" s="1"/>
      <c r="D80" s="1"/>
      <c r="E80" s="1"/>
      <c r="F80" s="1"/>
      <c r="G80" s="1"/>
      <c r="H80" s="1"/>
      <c r="I80" s="1"/>
      <c r="J80" s="49"/>
      <c r="K80" s="165"/>
      <c r="L80" s="184"/>
      <c r="M80" s="58"/>
      <c r="N80" s="1"/>
    </row>
    <row r="81" ht="15.75">
      <c r="C81" s="36" t="s">
        <v>126</v>
      </c>
    </row>
    <row r="82" spans="3:7" ht="15.75">
      <c r="C82" s="14" t="s">
        <v>47</v>
      </c>
      <c r="E82" s="15" t="s">
        <v>48</v>
      </c>
      <c r="G82" s="14" t="s">
        <v>49</v>
      </c>
    </row>
    <row r="83" spans="3:6" ht="15.75">
      <c r="C83" s="14" t="s">
        <v>205</v>
      </c>
      <c r="E83" s="9">
        <v>0.1</v>
      </c>
      <c r="F83" s="9"/>
    </row>
    <row r="84" spans="3:7" ht="15.75">
      <c r="C84" s="14" t="s">
        <v>50</v>
      </c>
      <c r="E84" s="172" t="s">
        <v>51</v>
      </c>
      <c r="G84" s="14" t="s">
        <v>52</v>
      </c>
    </row>
    <row r="86" spans="4:10" ht="15.75">
      <c r="D86" s="222" t="s">
        <v>231</v>
      </c>
      <c r="H86" s="220">
        <f>+'RATES-Fed'!E31</f>
        <v>0.605</v>
      </c>
      <c r="J86" s="219">
        <f>J76/12*'RATES-Fed'!$C$46</f>
        <v>0</v>
      </c>
    </row>
    <row r="87" spans="4:10" ht="15.75">
      <c r="D87" s="302" t="s">
        <v>232</v>
      </c>
      <c r="E87" s="302"/>
      <c r="F87" s="302"/>
      <c r="G87" s="302"/>
      <c r="H87" s="220">
        <f>+'RATES-Fed'!G31</f>
        <v>0.605</v>
      </c>
      <c r="J87" s="219">
        <f>J76/12*'RATES-Fed'!$D$46</f>
        <v>0</v>
      </c>
    </row>
    <row r="88" spans="4:16" ht="18.75">
      <c r="D88" s="302"/>
      <c r="E88" s="302"/>
      <c r="F88" s="302"/>
      <c r="G88" s="302"/>
      <c r="J88" s="219">
        <f>SUM(J86:J87)</f>
        <v>0</v>
      </c>
      <c r="M88" s="301">
        <f>'RATES-Fed'!Q67</f>
        <v>0</v>
      </c>
      <c r="N88" s="301"/>
      <c r="O88" s="301"/>
      <c r="P88" s="199"/>
    </row>
  </sheetData>
  <sheetProtection/>
  <mergeCells count="4">
    <mergeCell ref="J8:L8"/>
    <mergeCell ref="K4:O5"/>
    <mergeCell ref="M88:O88"/>
    <mergeCell ref="D87:G88"/>
  </mergeCells>
  <dataValidations count="1">
    <dataValidation type="list" allowBlank="1" showInputMessage="1" showErrorMessage="1" sqref="D11 D13 D20:D23 D15:D17">
      <formula1>APPTS</formula1>
    </dataValidation>
  </dataValidations>
  <hyperlinks>
    <hyperlink ref="C58" r:id="rId1" display="UC Tuition rates (Not Subject to Indirect)"/>
  </hyperlinks>
  <printOptions horizontalCentered="1"/>
  <pageMargins left="0.25" right="0.25" top="0.75" bottom="0.75" header="0.3" footer="0.3"/>
  <pageSetup fitToHeight="1" fitToWidth="1" horizontalDpi="300" verticalDpi="300" orientation="portrait" scale="58" r:id="rId4"/>
  <legacyDrawing r:id="rId3"/>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S89"/>
  <sheetViews>
    <sheetView showGridLines="0" zoomScale="75" zoomScaleNormal="75" workbookViewId="0" topLeftCell="A1">
      <selection activeCell="N24" sqref="N24"/>
    </sheetView>
  </sheetViews>
  <sheetFormatPr defaultColWidth="9.625" defaultRowHeight="15.75"/>
  <cols>
    <col min="1" max="2" width="2.625" style="0" customWidth="1"/>
    <col min="3" max="3" width="20.50390625" style="0" customWidth="1"/>
    <col min="4" max="4" width="16.125" style="0" customWidth="1"/>
    <col min="5" max="6" width="7.625" style="0" customWidth="1"/>
    <col min="7" max="7" width="9.875" style="0" customWidth="1"/>
    <col min="8" max="8" width="7.25390625" style="0" customWidth="1"/>
    <col min="9" max="9" width="7.25390625" style="0" hidden="1" customWidth="1"/>
    <col min="10" max="10" width="13.75390625" style="0" customWidth="1"/>
    <col min="11" max="11" width="8.125" style="166" bestFit="1" customWidth="1"/>
    <col min="12" max="12" width="10.125" style="185" bestFit="1" customWidth="1"/>
    <col min="13" max="13" width="11.25390625" style="0" customWidth="1"/>
    <col min="14" max="14" width="9.25390625" style="166" bestFit="1" customWidth="1"/>
    <col min="15" max="15" width="9.50390625" style="94" bestFit="1" customWidth="1"/>
    <col min="16" max="16" width="14.625" style="0" customWidth="1"/>
    <col min="17" max="17" width="2.625" style="0" customWidth="1"/>
  </cols>
  <sheetData>
    <row r="1" spans="1:14" ht="18.75">
      <c r="A1" s="17" t="s">
        <v>0</v>
      </c>
      <c r="B1" s="18"/>
      <c r="C1" s="18"/>
      <c r="D1" s="18"/>
      <c r="E1" s="18"/>
      <c r="F1" s="18"/>
      <c r="G1" s="18"/>
      <c r="H1" s="18"/>
      <c r="I1" s="18"/>
      <c r="J1" s="19"/>
      <c r="K1" s="152"/>
      <c r="L1" s="173"/>
      <c r="M1" s="37"/>
      <c r="N1" s="167"/>
    </row>
    <row r="2" spans="1:16" ht="18.75">
      <c r="A2" s="17" t="s">
        <v>216</v>
      </c>
      <c r="B2" s="18"/>
      <c r="C2" s="18"/>
      <c r="D2" s="18"/>
      <c r="E2" s="18"/>
      <c r="F2" s="18"/>
      <c r="G2" s="18"/>
      <c r="H2" s="18"/>
      <c r="I2" s="18"/>
      <c r="J2" s="19"/>
      <c r="K2" s="152"/>
      <c r="L2" s="173"/>
      <c r="M2" s="37"/>
      <c r="N2" s="167"/>
      <c r="O2" s="195"/>
      <c r="P2" s="37"/>
    </row>
    <row r="3" spans="1:16" ht="9.75" customHeight="1">
      <c r="A3" s="10" t="s">
        <v>1</v>
      </c>
      <c r="B3" s="1"/>
      <c r="J3" s="11" t="s">
        <v>1</v>
      </c>
      <c r="K3" s="153"/>
      <c r="L3" s="174"/>
      <c r="M3" s="8"/>
      <c r="P3" s="8"/>
    </row>
    <row r="4" spans="1:16" ht="15.75">
      <c r="A4" s="22" t="s">
        <v>2</v>
      </c>
      <c r="B4" s="1"/>
      <c r="D4" s="10" t="s">
        <v>71</v>
      </c>
      <c r="G4" s="3"/>
      <c r="J4" s="20" t="s">
        <v>3</v>
      </c>
      <c r="K4" s="303" t="s">
        <v>71</v>
      </c>
      <c r="L4" s="304"/>
      <c r="M4" s="305"/>
      <c r="N4" s="305"/>
      <c r="O4" s="306"/>
      <c r="P4" s="8"/>
    </row>
    <row r="5" spans="1:16" ht="18.75">
      <c r="A5" s="22" t="s">
        <v>4</v>
      </c>
      <c r="B5" s="1"/>
      <c r="D5" s="10" t="s">
        <v>71</v>
      </c>
      <c r="E5" s="3"/>
      <c r="F5" s="3"/>
      <c r="H5" s="2"/>
      <c r="I5" s="2"/>
      <c r="J5" s="38"/>
      <c r="K5" s="307"/>
      <c r="L5" s="308"/>
      <c r="M5" s="308"/>
      <c r="N5" s="308"/>
      <c r="O5" s="309"/>
      <c r="P5" s="8"/>
    </row>
    <row r="6" spans="1:16" ht="15.75">
      <c r="A6" s="14"/>
      <c r="B6" s="22" t="s">
        <v>5</v>
      </c>
      <c r="D6" s="73">
        <f>'RATES-Fed'!E2</f>
        <v>42917</v>
      </c>
      <c r="E6" s="12" t="s">
        <v>6</v>
      </c>
      <c r="F6" s="12"/>
      <c r="G6" s="73">
        <f>'RATES-Fed'!G2</f>
        <v>44742</v>
      </c>
      <c r="H6" s="4"/>
      <c r="I6" s="4"/>
      <c r="J6" s="2"/>
      <c r="K6" s="154"/>
      <c r="L6" s="175"/>
      <c r="M6" s="3"/>
      <c r="N6" s="154"/>
      <c r="O6" s="149"/>
      <c r="P6" s="8"/>
    </row>
    <row r="7" spans="5:17" ht="7.5" customHeight="1">
      <c r="E7" s="3"/>
      <c r="F7" s="3"/>
      <c r="G7" s="1"/>
      <c r="H7" s="1"/>
      <c r="I7" s="1"/>
      <c r="J7" s="16" t="s">
        <v>1</v>
      </c>
      <c r="K7" s="153"/>
      <c r="L7" s="174"/>
      <c r="M7" s="8"/>
      <c r="N7" s="153"/>
      <c r="O7" s="143"/>
      <c r="P7" s="8"/>
      <c r="Q7" s="1"/>
    </row>
    <row r="8" spans="1:17" ht="15.75">
      <c r="A8" s="21"/>
      <c r="B8" s="21"/>
      <c r="C8" s="145" t="s">
        <v>10</v>
      </c>
      <c r="D8" s="21"/>
      <c r="E8" s="21"/>
      <c r="F8" s="21"/>
      <c r="G8" s="21"/>
      <c r="H8" s="21"/>
      <c r="I8" s="21"/>
      <c r="J8" s="292" t="s">
        <v>21</v>
      </c>
      <c r="K8" s="293"/>
      <c r="L8" s="294"/>
      <c r="M8" s="310" t="s">
        <v>54</v>
      </c>
      <c r="N8" s="311"/>
      <c r="O8" s="312"/>
      <c r="P8" s="171" t="s">
        <v>8</v>
      </c>
      <c r="Q8" s="21"/>
    </row>
    <row r="9" spans="1:19" s="147" customFormat="1" ht="15.75">
      <c r="A9" s="145" t="s">
        <v>9</v>
      </c>
      <c r="C9" s="145"/>
      <c r="D9" s="145"/>
      <c r="E9" s="145"/>
      <c r="F9" s="145"/>
      <c r="G9" s="145"/>
      <c r="H9" s="145"/>
      <c r="I9" s="145"/>
      <c r="J9" s="189" t="s">
        <v>210</v>
      </c>
      <c r="K9" s="155" t="s">
        <v>211</v>
      </c>
      <c r="L9" s="145" t="s">
        <v>212</v>
      </c>
      <c r="M9" s="194" t="s">
        <v>210</v>
      </c>
      <c r="N9" s="155" t="s">
        <v>211</v>
      </c>
      <c r="O9" s="145" t="s">
        <v>212</v>
      </c>
      <c r="P9" s="146"/>
      <c r="Q9" s="145"/>
      <c r="S9"/>
    </row>
    <row r="10" spans="1:17" ht="15.75">
      <c r="A10" s="1"/>
      <c r="B10" s="23" t="s">
        <v>11</v>
      </c>
      <c r="C10" s="24"/>
      <c r="D10" s="24" t="s">
        <v>103</v>
      </c>
      <c r="E10" s="1" t="s">
        <v>12</v>
      </c>
      <c r="F10" s="41" t="s">
        <v>129</v>
      </c>
      <c r="G10" s="41" t="s">
        <v>13</v>
      </c>
      <c r="H10" s="1"/>
      <c r="I10" s="1"/>
      <c r="J10" s="190"/>
      <c r="K10" s="153"/>
      <c r="L10" s="143"/>
      <c r="M10" s="190"/>
      <c r="N10" s="153"/>
      <c r="O10" s="143"/>
      <c r="P10" s="2">
        <f>IF(SUM(J10:N10)=0,"",SUM(J10:N10))</f>
      </c>
      <c r="Q10" s="1"/>
    </row>
    <row r="11" spans="1:19" ht="15.75">
      <c r="A11" s="1"/>
      <c r="B11" s="1" t="s">
        <v>14</v>
      </c>
      <c r="C11" s="10" t="str">
        <f>D5</f>
        <v>name</v>
      </c>
      <c r="D11" s="140" t="s">
        <v>131</v>
      </c>
      <c r="E11" s="70">
        <v>0</v>
      </c>
      <c r="F11" s="99">
        <f aca="true" t="shared" si="0" ref="F11:F18">IF(D11="CAL",(52*E11/4.3333),(IF(D11="ACAD",(32*E11/4.33333),IF(D11="SUMR",(14*E11/4.33333),IF(D11="PT",(0),0)))))</f>
        <v>0</v>
      </c>
      <c r="G11" s="69">
        <v>0</v>
      </c>
      <c r="J11" s="187">
        <f>ROUND(G11*E11,0)</f>
        <v>0</v>
      </c>
      <c r="K11" s="156">
        <f>ROUND(J11*'RATES-Fed'!E38,0)</f>
        <v>0</v>
      </c>
      <c r="L11" s="67">
        <f>ROUND(K11+J11,0)</f>
        <v>0</v>
      </c>
      <c r="M11" s="187">
        <f>ROUND((J11*1.02),0)</f>
        <v>0</v>
      </c>
      <c r="N11" s="156">
        <f>ROUND(M11*'RATES-Fed'!G38,0)</f>
        <v>0</v>
      </c>
      <c r="O11" s="67">
        <f aca="true" t="shared" si="1" ref="O11:O18">ROUND(M11+N11,0)</f>
        <v>0</v>
      </c>
      <c r="P11" s="42">
        <f>SUM(L11+O11)</f>
        <v>0</v>
      </c>
      <c r="Q11" s="1"/>
      <c r="S11" s="212"/>
    </row>
    <row r="12" spans="1:17" ht="15.75">
      <c r="A12" s="1"/>
      <c r="B12" s="1" t="s">
        <v>14</v>
      </c>
      <c r="C12" s="3"/>
      <c r="D12" s="140" t="str">
        <f>IF(D11="ACAD",("SUMR"),"")</f>
        <v>SUMR</v>
      </c>
      <c r="E12" s="70">
        <v>0</v>
      </c>
      <c r="F12" s="99">
        <f t="shared" si="0"/>
        <v>0</v>
      </c>
      <c r="G12" s="69">
        <f>+G11*0.4375</f>
        <v>0</v>
      </c>
      <c r="J12" s="187">
        <f aca="true" t="shared" si="2" ref="J12:J18">ROUND(G12*E12,0)</f>
        <v>0</v>
      </c>
      <c r="K12" s="156">
        <f>ROUND(J12*'RATES-Fed'!E38,0)</f>
        <v>0</v>
      </c>
      <c r="L12" s="67">
        <f aca="true" t="shared" si="3" ref="L12:L18">ROUND(K12+J12,0)</f>
        <v>0</v>
      </c>
      <c r="M12" s="187">
        <f aca="true" t="shared" si="4" ref="M12:M17">ROUND((J12*1.02),0)</f>
        <v>0</v>
      </c>
      <c r="N12" s="156">
        <f>ROUND(M12*'RATES-Fed'!G38,0)</f>
        <v>0</v>
      </c>
      <c r="O12" s="67">
        <f t="shared" si="1"/>
        <v>0</v>
      </c>
      <c r="P12" s="42">
        <f aca="true" t="shared" si="5" ref="P12:P18">SUM(L12+O12)</f>
        <v>0</v>
      </c>
      <c r="Q12" s="1"/>
    </row>
    <row r="13" spans="1:17" ht="15.75">
      <c r="A13" s="1"/>
      <c r="B13" s="1" t="s">
        <v>15</v>
      </c>
      <c r="C13" s="3"/>
      <c r="D13" s="140" t="s">
        <v>131</v>
      </c>
      <c r="E13" s="70">
        <v>0</v>
      </c>
      <c r="F13" s="99">
        <f t="shared" si="0"/>
        <v>0</v>
      </c>
      <c r="G13" s="69">
        <v>0</v>
      </c>
      <c r="J13" s="187">
        <f t="shared" si="2"/>
        <v>0</v>
      </c>
      <c r="K13" s="156">
        <f>ROUND(J13*'RATES-Fed'!E38,0)</f>
        <v>0</v>
      </c>
      <c r="L13" s="67">
        <f t="shared" si="3"/>
        <v>0</v>
      </c>
      <c r="M13" s="187">
        <f t="shared" si="4"/>
        <v>0</v>
      </c>
      <c r="N13" s="156">
        <f>ROUND(M13*'RATES-Fed'!G38,0)</f>
        <v>0</v>
      </c>
      <c r="O13" s="67">
        <f t="shared" si="1"/>
        <v>0</v>
      </c>
      <c r="P13" s="42">
        <f t="shared" si="5"/>
        <v>0</v>
      </c>
      <c r="Q13" s="1"/>
    </row>
    <row r="14" spans="1:16" ht="15.75">
      <c r="A14" s="1"/>
      <c r="B14" s="1"/>
      <c r="C14" s="3"/>
      <c r="D14" s="140" t="str">
        <f>IF(D13="ACAD",("SUMR"),"")</f>
        <v>SUMR</v>
      </c>
      <c r="E14" s="70">
        <v>0</v>
      </c>
      <c r="F14" s="99">
        <f t="shared" si="0"/>
        <v>0</v>
      </c>
      <c r="G14" s="69">
        <f>+G13*0.4375</f>
        <v>0</v>
      </c>
      <c r="J14" s="187">
        <f t="shared" si="2"/>
        <v>0</v>
      </c>
      <c r="K14" s="156">
        <f>ROUND(J14*'RATES-Fed'!E38,0)</f>
        <v>0</v>
      </c>
      <c r="L14" s="67">
        <f t="shared" si="3"/>
        <v>0</v>
      </c>
      <c r="M14" s="187">
        <f t="shared" si="4"/>
        <v>0</v>
      </c>
      <c r="N14" s="156">
        <f>ROUND(M14*'RATES-Fed'!G38,0)</f>
        <v>0</v>
      </c>
      <c r="O14" s="67">
        <f t="shared" si="1"/>
        <v>0</v>
      </c>
      <c r="P14" s="42">
        <f t="shared" si="5"/>
        <v>0</v>
      </c>
    </row>
    <row r="15" spans="1:17" ht="15.75">
      <c r="A15" s="1"/>
      <c r="B15" s="1" t="s">
        <v>15</v>
      </c>
      <c r="C15" s="3"/>
      <c r="D15" s="140" t="s">
        <v>131</v>
      </c>
      <c r="E15" s="70">
        <v>0</v>
      </c>
      <c r="F15" s="99">
        <f t="shared" si="0"/>
        <v>0</v>
      </c>
      <c r="G15" s="69">
        <v>0</v>
      </c>
      <c r="J15" s="187">
        <f t="shared" si="2"/>
        <v>0</v>
      </c>
      <c r="K15" s="156">
        <f>ROUND(J15*'RATES-Fed'!E38,0)</f>
        <v>0</v>
      </c>
      <c r="L15" s="67">
        <f t="shared" si="3"/>
        <v>0</v>
      </c>
      <c r="M15" s="187">
        <f t="shared" si="4"/>
        <v>0</v>
      </c>
      <c r="N15" s="156">
        <f>ROUND(M15*'RATES-Fed'!G38,0)</f>
        <v>0</v>
      </c>
      <c r="O15" s="67">
        <f t="shared" si="1"/>
        <v>0</v>
      </c>
      <c r="P15" s="42">
        <f t="shared" si="5"/>
        <v>0</v>
      </c>
      <c r="Q15" s="1"/>
    </row>
    <row r="16" spans="1:16" ht="15.75">
      <c r="A16" s="1"/>
      <c r="B16" s="1"/>
      <c r="C16" s="3"/>
      <c r="D16" s="140" t="str">
        <f>IF(D15="ACAD",("SUMR"),"")</f>
        <v>SUMR</v>
      </c>
      <c r="E16" s="70">
        <v>0</v>
      </c>
      <c r="F16" s="99">
        <f t="shared" si="0"/>
        <v>0</v>
      </c>
      <c r="G16" s="69">
        <f>+G15*0.4375</f>
        <v>0</v>
      </c>
      <c r="J16" s="187">
        <f t="shared" si="2"/>
        <v>0</v>
      </c>
      <c r="K16" s="156">
        <f>ROUND(J16*'RATES-Fed'!E38,0)</f>
        <v>0</v>
      </c>
      <c r="L16" s="67">
        <f t="shared" si="3"/>
        <v>0</v>
      </c>
      <c r="M16" s="187">
        <f t="shared" si="4"/>
        <v>0</v>
      </c>
      <c r="N16" s="156">
        <f>ROUND(M16*'RATES-Fed'!G38,0)</f>
        <v>0</v>
      </c>
      <c r="O16" s="67">
        <f t="shared" si="1"/>
        <v>0</v>
      </c>
      <c r="P16" s="42">
        <f t="shared" si="5"/>
        <v>0</v>
      </c>
    </row>
    <row r="17" spans="1:17" ht="15.75">
      <c r="A17" s="1"/>
      <c r="B17" s="1" t="s">
        <v>15</v>
      </c>
      <c r="C17" s="3"/>
      <c r="D17" s="140" t="s">
        <v>130</v>
      </c>
      <c r="E17" s="70">
        <v>0</v>
      </c>
      <c r="F17" s="99">
        <f t="shared" si="0"/>
        <v>0</v>
      </c>
      <c r="G17" s="69">
        <v>0</v>
      </c>
      <c r="J17" s="187">
        <f t="shared" si="2"/>
        <v>0</v>
      </c>
      <c r="K17" s="156">
        <f>ROUND(J17*'RATES-Fed'!E38,0)</f>
        <v>0</v>
      </c>
      <c r="L17" s="67">
        <f t="shared" si="3"/>
        <v>0</v>
      </c>
      <c r="M17" s="187">
        <f t="shared" si="4"/>
        <v>0</v>
      </c>
      <c r="N17" s="156">
        <f>ROUND(M17*'RATES-Fed'!G38,0)</f>
        <v>0</v>
      </c>
      <c r="O17" s="67">
        <f t="shared" si="1"/>
        <v>0</v>
      </c>
      <c r="P17" s="42">
        <f t="shared" si="5"/>
        <v>0</v>
      </c>
      <c r="Q17" s="1"/>
    </row>
    <row r="18" spans="1:16" ht="15.75">
      <c r="A18" s="1"/>
      <c r="B18" s="1" t="s">
        <v>15</v>
      </c>
      <c r="C18" s="3"/>
      <c r="D18" s="140" t="s">
        <v>130</v>
      </c>
      <c r="E18" s="70">
        <v>0</v>
      </c>
      <c r="F18" s="99">
        <f t="shared" si="0"/>
        <v>0</v>
      </c>
      <c r="G18" s="69">
        <v>0</v>
      </c>
      <c r="J18" s="201">
        <f t="shared" si="2"/>
        <v>0</v>
      </c>
      <c r="K18" s="206">
        <f>ROUND(J18*'RATES-Fed'!E38,0)</f>
        <v>0</v>
      </c>
      <c r="L18" s="207">
        <f t="shared" si="3"/>
        <v>0</v>
      </c>
      <c r="M18" s="201">
        <f>ROUND((J18*1.02),0)</f>
        <v>0</v>
      </c>
      <c r="N18" s="206">
        <f>ROUND(M18*'RATES-Fed'!G38,0)</f>
        <v>0</v>
      </c>
      <c r="O18" s="207">
        <f t="shared" si="1"/>
        <v>0</v>
      </c>
      <c r="P18" s="204">
        <f t="shared" si="5"/>
        <v>0</v>
      </c>
    </row>
    <row r="19" spans="1:17" ht="15.75">
      <c r="A19" s="1"/>
      <c r="B19" s="1"/>
      <c r="C19" s="1"/>
      <c r="D19" s="25" t="s">
        <v>16</v>
      </c>
      <c r="E19" s="26"/>
      <c r="F19" s="26"/>
      <c r="G19" s="1"/>
      <c r="H19" s="1"/>
      <c r="I19" s="1"/>
      <c r="J19" s="205">
        <f aca="true" t="shared" si="6" ref="J19:P19">SUM(J11:J18)</f>
        <v>0</v>
      </c>
      <c r="K19" s="157">
        <f t="shared" si="6"/>
        <v>0</v>
      </c>
      <c r="L19" s="46">
        <f t="shared" si="6"/>
        <v>0</v>
      </c>
      <c r="M19" s="205">
        <f t="shared" si="6"/>
        <v>0</v>
      </c>
      <c r="N19" s="157">
        <f t="shared" si="6"/>
        <v>0</v>
      </c>
      <c r="O19" s="46">
        <f t="shared" si="6"/>
        <v>0</v>
      </c>
      <c r="P19" s="42">
        <f t="shared" si="6"/>
        <v>0</v>
      </c>
      <c r="Q19" s="6"/>
    </row>
    <row r="20" spans="1:15" ht="15.75">
      <c r="A20" s="21" t="s">
        <v>274</v>
      </c>
      <c r="B20" s="21" t="s">
        <v>275</v>
      </c>
      <c r="C20" s="1"/>
      <c r="D20" s="25"/>
      <c r="E20" s="26"/>
      <c r="F20" s="26"/>
      <c r="G20" s="1"/>
      <c r="H20" s="1"/>
      <c r="I20" s="1"/>
      <c r="J20" s="205"/>
      <c r="K20" s="157"/>
      <c r="L20" s="46"/>
      <c r="M20" s="42"/>
      <c r="N20" s="6"/>
      <c r="O20"/>
    </row>
    <row r="21" spans="1:16" ht="15.75">
      <c r="A21" s="1"/>
      <c r="B21" s="1" t="s">
        <v>15</v>
      </c>
      <c r="C21" s="3"/>
      <c r="D21" s="140" t="s">
        <v>130</v>
      </c>
      <c r="E21" s="70">
        <v>0</v>
      </c>
      <c r="F21" s="99">
        <f>IF(D21="CAL",(52*E21/4.3333),(IF(D21="ACAD",(32*E21/4.33333),IF(D21="SUMR",(14*E21/4.33333),IF(D21="PT",(0),0)))))</f>
        <v>0</v>
      </c>
      <c r="G21" s="69">
        <v>0</v>
      </c>
      <c r="J21" s="187">
        <f>ROUND(G21*E21,0)</f>
        <v>0</v>
      </c>
      <c r="K21" s="156">
        <f>ROUND(J21*'RATES-Fed'!E40,0)</f>
        <v>0</v>
      </c>
      <c r="L21" s="67">
        <f>ROUND(K21+J21,0)</f>
        <v>0</v>
      </c>
      <c r="M21" s="187">
        <f>ROUND((J21*1.02),0)</f>
        <v>0</v>
      </c>
      <c r="N21" s="156">
        <f>ROUND(M21*'RATES-Fed'!G40,0)</f>
        <v>0</v>
      </c>
      <c r="O21" s="67">
        <f>ROUND(M21+N21,0)</f>
        <v>0</v>
      </c>
      <c r="P21" s="42">
        <f>SUM(J21:O21)</f>
        <v>0</v>
      </c>
    </row>
    <row r="22" spans="1:16" ht="15.75">
      <c r="A22" s="1"/>
      <c r="B22" s="1" t="s">
        <v>15</v>
      </c>
      <c r="C22" s="3"/>
      <c r="D22" s="140" t="s">
        <v>130</v>
      </c>
      <c r="E22" s="70">
        <v>0</v>
      </c>
      <c r="F22" s="99">
        <f>IF(D22="CAL",(52*E22/4.3333),(IF(D22="ACAD",(32*E22/4.33333),IF(D22="SUMR",(14*E22/4.33333),IF(D22="PT",(0),0)))))</f>
        <v>0</v>
      </c>
      <c r="G22" s="69">
        <v>0</v>
      </c>
      <c r="J22" s="187">
        <f>ROUND(G22*E22,0)</f>
        <v>0</v>
      </c>
      <c r="K22" s="156">
        <f>ROUND(J22*'RATES-Fed'!E40,0)</f>
        <v>0</v>
      </c>
      <c r="L22" s="67">
        <f>ROUND(K22+J22,0)</f>
        <v>0</v>
      </c>
      <c r="M22" s="187">
        <f>ROUND((J22*1.02),0)</f>
        <v>0</v>
      </c>
      <c r="N22" s="156">
        <f>ROUND(M22*'RATES-Fed'!G40,0)</f>
        <v>0</v>
      </c>
      <c r="O22" s="67">
        <f>ROUND(M22+N22,0)</f>
        <v>0</v>
      </c>
      <c r="P22" s="42">
        <f>SUM(J22:O22)</f>
        <v>0</v>
      </c>
    </row>
    <row r="23" spans="1:16" ht="15.75">
      <c r="A23" s="1"/>
      <c r="B23" s="1" t="s">
        <v>15</v>
      </c>
      <c r="C23" s="3"/>
      <c r="D23" s="140" t="s">
        <v>130</v>
      </c>
      <c r="E23" s="70">
        <v>0</v>
      </c>
      <c r="F23" s="99">
        <f>IF(D23="CAL",(52*E23/4.3333),(IF(D23="ACAD",(32*E23/4.33333),IF(D23="SUMR",(14*E23/4.33333),IF(D23="PT",(0),0)))))</f>
        <v>0</v>
      </c>
      <c r="G23" s="69">
        <v>0</v>
      </c>
      <c r="J23" s="187">
        <f>ROUND(G23*E23,0)</f>
        <v>0</v>
      </c>
      <c r="K23" s="156">
        <f>ROUND(J23*'RATES-Fed'!E40,0)</f>
        <v>0</v>
      </c>
      <c r="L23" s="67">
        <f>ROUND(K23+J23,0)</f>
        <v>0</v>
      </c>
      <c r="M23" s="187">
        <f>ROUND((J23*1.02),0)</f>
        <v>0</v>
      </c>
      <c r="N23" s="156">
        <f>ROUND(M23*'RATES-Fed'!G40,0)</f>
        <v>0</v>
      </c>
      <c r="O23" s="67">
        <f>ROUND(M23+N23,0)</f>
        <v>0</v>
      </c>
      <c r="P23" s="42">
        <f>SUM(J23:O23)</f>
        <v>0</v>
      </c>
    </row>
    <row r="24" spans="1:16" ht="15.75">
      <c r="A24" s="1"/>
      <c r="B24" s="1" t="s">
        <v>15</v>
      </c>
      <c r="C24" s="3"/>
      <c r="D24" s="140" t="s">
        <v>130</v>
      </c>
      <c r="E24" s="70">
        <v>0</v>
      </c>
      <c r="F24" s="99">
        <f>IF(D24="CAL",(52*E24/4.3333),(IF(D24="ACAD",(32*E24/4.33333),IF(D24="SUMR",(14*E24/4.33333),IF(D24="PT",(0),0)))))</f>
        <v>0</v>
      </c>
      <c r="G24" s="69">
        <v>0</v>
      </c>
      <c r="J24" s="187">
        <f>ROUND(G24*E24,0)</f>
        <v>0</v>
      </c>
      <c r="K24" s="206">
        <f>ROUND(J24*'RATES-Fed'!E40,0)</f>
        <v>0</v>
      </c>
      <c r="L24" s="207">
        <f>ROUND(K24+J24,0)</f>
        <v>0</v>
      </c>
      <c r="M24" s="201">
        <f>ROUND((J24*1.02),0)</f>
        <v>0</v>
      </c>
      <c r="N24" s="206">
        <f>ROUND(M24*'RATES-Fed'!G40,0)</f>
        <v>0</v>
      </c>
      <c r="O24" s="207">
        <f>ROUND(M24+N24,0)</f>
        <v>0</v>
      </c>
      <c r="P24" s="204">
        <f>SUM(J24:O24)</f>
        <v>0</v>
      </c>
    </row>
    <row r="25" spans="1:16" ht="15.75">
      <c r="A25" s="1"/>
      <c r="B25" s="1"/>
      <c r="C25" s="1"/>
      <c r="D25" s="25" t="s">
        <v>279</v>
      </c>
      <c r="E25" s="26"/>
      <c r="F25" s="26"/>
      <c r="G25" s="1"/>
      <c r="H25" s="1"/>
      <c r="I25" s="1"/>
      <c r="J25" s="191">
        <f aca="true" t="shared" si="7" ref="J25:O25">SUM(J21:J24)</f>
        <v>0</v>
      </c>
      <c r="K25" s="157">
        <f t="shared" si="7"/>
        <v>0</v>
      </c>
      <c r="L25" s="46">
        <f t="shared" si="7"/>
        <v>0</v>
      </c>
      <c r="M25" s="76">
        <f t="shared" si="7"/>
        <v>0</v>
      </c>
      <c r="N25" s="6">
        <f t="shared" si="7"/>
        <v>0</v>
      </c>
      <c r="O25" s="76">
        <f t="shared" si="7"/>
        <v>0</v>
      </c>
      <c r="P25" s="42">
        <f>SUM(J25:O25)</f>
        <v>0</v>
      </c>
    </row>
    <row r="26" spans="1:17" ht="7.5" customHeight="1">
      <c r="A26" s="1"/>
      <c r="B26" s="1"/>
      <c r="C26" s="1"/>
      <c r="D26" s="26"/>
      <c r="E26" s="26"/>
      <c r="F26" s="26"/>
      <c r="G26" s="1"/>
      <c r="H26" s="1"/>
      <c r="I26" s="1"/>
      <c r="J26" s="192"/>
      <c r="K26" s="157"/>
      <c r="L26" s="46"/>
      <c r="M26" s="186"/>
      <c r="N26" s="157"/>
      <c r="O26" s="46"/>
      <c r="P26" s="42"/>
      <c r="Q26" s="6"/>
    </row>
    <row r="27" spans="1:17" ht="15.75">
      <c r="A27" s="22" t="s">
        <v>276</v>
      </c>
      <c r="B27" s="22" t="s">
        <v>17</v>
      </c>
      <c r="C27" s="1"/>
      <c r="D27" s="26"/>
      <c r="E27" s="1"/>
      <c r="F27" s="1"/>
      <c r="G27" s="41"/>
      <c r="H27" s="1"/>
      <c r="I27" s="1"/>
      <c r="J27" s="190"/>
      <c r="K27" s="153"/>
      <c r="L27" s="143"/>
      <c r="M27" s="190"/>
      <c r="N27" s="157"/>
      <c r="O27" s="46"/>
      <c r="P27" s="42"/>
      <c r="Q27" s="6"/>
    </row>
    <row r="28" spans="1:17" ht="15.75">
      <c r="A28" s="1"/>
      <c r="C28" s="13" t="s">
        <v>88</v>
      </c>
      <c r="D28" s="41" t="s">
        <v>127</v>
      </c>
      <c r="E28" s="68"/>
      <c r="F28" s="68"/>
      <c r="G28" s="59"/>
      <c r="J28" s="187"/>
      <c r="K28" s="158"/>
      <c r="L28" s="50"/>
      <c r="M28" s="187"/>
      <c r="N28" s="168"/>
      <c r="O28" s="148"/>
      <c r="P28" s="42"/>
      <c r="Q28" s="5"/>
    </row>
    <row r="29" spans="1:17" ht="15.75">
      <c r="A29" s="1"/>
      <c r="C29" s="13"/>
      <c r="D29" s="97"/>
      <c r="E29" s="70">
        <v>0</v>
      </c>
      <c r="F29" s="98">
        <f>SUM(52*E29/4.33)</f>
        <v>0</v>
      </c>
      <c r="G29" s="69">
        <v>0</v>
      </c>
      <c r="J29" s="187">
        <f>ROUND(G29*E29,0)</f>
        <v>0</v>
      </c>
      <c r="K29" s="158">
        <f>ROUND(J29*'RATES-Fed'!E39,0)</f>
        <v>0</v>
      </c>
      <c r="L29" s="50">
        <f>SUM(J29:K29)</f>
        <v>0</v>
      </c>
      <c r="M29" s="187">
        <f>ROUND(J29*1.02,0)</f>
        <v>0</v>
      </c>
      <c r="N29" s="158">
        <f>ROUND(M29*'RATES-Fed'!G39,0)</f>
        <v>0</v>
      </c>
      <c r="O29" s="50">
        <f>SUM(M29:N29)</f>
        <v>0</v>
      </c>
      <c r="P29" s="42">
        <f>SUM(L29+O29)</f>
        <v>0</v>
      </c>
      <c r="Q29" s="5"/>
    </row>
    <row r="30" spans="1:17" ht="15.75">
      <c r="A30" s="1"/>
      <c r="C30" s="13"/>
      <c r="D30" s="1"/>
      <c r="E30" s="70">
        <v>0</v>
      </c>
      <c r="F30" s="98">
        <f>SUM(52*E30/4.33)</f>
        <v>0</v>
      </c>
      <c r="G30" s="69">
        <v>0</v>
      </c>
      <c r="J30" s="187">
        <f>ROUND(G30*E30,0)</f>
        <v>0</v>
      </c>
      <c r="K30" s="158">
        <f>ROUND(J30*'RATES-Fed'!E39,0)</f>
        <v>0</v>
      </c>
      <c r="L30" s="50">
        <f>SUM(J30:K30)</f>
        <v>0</v>
      </c>
      <c r="M30" s="187">
        <f>ROUND(J30*1.02,0)</f>
        <v>0</v>
      </c>
      <c r="N30" s="158">
        <f>ROUND(M30*'RATES-Fed'!G39,0)</f>
        <v>0</v>
      </c>
      <c r="O30" s="50">
        <f>SUM(M30:N30)</f>
        <v>0</v>
      </c>
      <c r="P30" s="42">
        <f>SUM(L30+O30)</f>
        <v>0</v>
      </c>
      <c r="Q30" s="5"/>
    </row>
    <row r="31" spans="1:17" ht="15.75">
      <c r="A31" s="1"/>
      <c r="C31" s="13"/>
      <c r="D31" s="1"/>
      <c r="E31" s="70">
        <v>0</v>
      </c>
      <c r="F31" s="98">
        <f>SUM(52*E31/4.33)</f>
        <v>0</v>
      </c>
      <c r="G31" s="69">
        <v>0</v>
      </c>
      <c r="J31" s="201">
        <f>ROUND(G31*E31,0)</f>
        <v>0</v>
      </c>
      <c r="K31" s="202">
        <f>ROUND(J31*'RATES-Fed'!E39,0)</f>
        <v>0</v>
      </c>
      <c r="L31" s="203">
        <f>SUM(J31:K31)</f>
        <v>0</v>
      </c>
      <c r="M31" s="201">
        <f>ROUND(J31*1.02,0)</f>
        <v>0</v>
      </c>
      <c r="N31" s="202">
        <f>ROUND(M31*'RATES-Fed'!G39,0)</f>
        <v>0</v>
      </c>
      <c r="O31" s="203">
        <f>SUM(M31:N31)</f>
        <v>0</v>
      </c>
      <c r="P31" s="204">
        <f>SUM(L31+O31)</f>
        <v>0</v>
      </c>
      <c r="Q31" s="5"/>
    </row>
    <row r="32" spans="1:17" ht="15.75">
      <c r="A32" s="1"/>
      <c r="C32" s="13"/>
      <c r="D32" s="1" t="s">
        <v>128</v>
      </c>
      <c r="E32" s="70"/>
      <c r="F32" s="70"/>
      <c r="G32" s="69"/>
      <c r="J32" s="193">
        <f aca="true" t="shared" si="8" ref="J32:P32">SUM(J29:J31)</f>
        <v>0</v>
      </c>
      <c r="K32" s="158">
        <f t="shared" si="8"/>
        <v>0</v>
      </c>
      <c r="L32" s="50">
        <f t="shared" si="8"/>
        <v>0</v>
      </c>
      <c r="M32" s="193">
        <f t="shared" si="8"/>
        <v>0</v>
      </c>
      <c r="N32" s="168">
        <f t="shared" si="8"/>
        <v>0</v>
      </c>
      <c r="O32" s="148">
        <f t="shared" si="8"/>
        <v>0</v>
      </c>
      <c r="P32" s="42">
        <f t="shared" si="8"/>
        <v>0</v>
      </c>
      <c r="Q32" s="5"/>
    </row>
    <row r="33" spans="1:17" ht="9.75" customHeight="1">
      <c r="A33" s="1"/>
      <c r="C33" s="13"/>
      <c r="D33" s="1"/>
      <c r="E33" s="70"/>
      <c r="F33" s="70"/>
      <c r="G33" s="69"/>
      <c r="J33" s="193"/>
      <c r="K33" s="158"/>
      <c r="L33" s="50"/>
      <c r="M33" s="193"/>
      <c r="N33" s="168"/>
      <c r="O33" s="148"/>
      <c r="P33" s="42"/>
      <c r="Q33" s="5"/>
    </row>
    <row r="34" spans="1:17" ht="15.75">
      <c r="A34" s="1"/>
      <c r="C34" s="13" t="s">
        <v>89</v>
      </c>
      <c r="D34" s="1"/>
      <c r="E34" s="70">
        <v>0</v>
      </c>
      <c r="F34" s="98">
        <f>SUM(52*E34/4.33)</f>
        <v>0</v>
      </c>
      <c r="G34" s="69">
        <v>0</v>
      </c>
      <c r="J34" s="187">
        <f>ROUND(G34*E34,0)</f>
        <v>0</v>
      </c>
      <c r="K34" s="158">
        <f>ROUND(J34*'RATES-Fed'!E43,0)</f>
        <v>0</v>
      </c>
      <c r="L34" s="50">
        <f>SUM(J34:K34)</f>
        <v>0</v>
      </c>
      <c r="M34" s="187">
        <f>ROUND((J34*1.02),0)</f>
        <v>0</v>
      </c>
      <c r="N34" s="158">
        <f>ROUND(M34*'RATES-Fed'!G43,0)</f>
        <v>0</v>
      </c>
      <c r="O34" s="50">
        <f>SUM(M34:N34)</f>
        <v>0</v>
      </c>
      <c r="P34" s="42">
        <f>SUM(L34+O34)</f>
        <v>0</v>
      </c>
      <c r="Q34" s="5"/>
    </row>
    <row r="35" spans="1:17" ht="15.75">
      <c r="A35" s="1"/>
      <c r="C35" s="13" t="s">
        <v>18</v>
      </c>
      <c r="D35" s="1"/>
      <c r="E35" s="70">
        <v>0</v>
      </c>
      <c r="F35" s="98">
        <f>SUM(52*E35/4.33)</f>
        <v>0</v>
      </c>
      <c r="G35" s="69">
        <v>0</v>
      </c>
      <c r="J35" s="187">
        <f>ROUND(G35*E35,0)</f>
        <v>0</v>
      </c>
      <c r="K35" s="158">
        <f>ROUND(J35*'RATES-Fed'!E42,0)</f>
        <v>0</v>
      </c>
      <c r="L35" s="50">
        <f>SUM(J35:K35)</f>
        <v>0</v>
      </c>
      <c r="M35" s="187">
        <f>ROUND((J35*1.02),0)</f>
        <v>0</v>
      </c>
      <c r="N35" s="158">
        <f>ROUND(M35*'RATES-Fed'!G42,0)</f>
        <v>0</v>
      </c>
      <c r="O35" s="50">
        <f>SUM(M35:N35)</f>
        <v>0</v>
      </c>
      <c r="P35" s="42">
        <f>SUM(L35+O35)</f>
        <v>0</v>
      </c>
      <c r="Q35" s="5"/>
    </row>
    <row r="36" spans="1:17" ht="15.75">
      <c r="A36" s="1"/>
      <c r="C36" s="13" t="s">
        <v>19</v>
      </c>
      <c r="D36" s="1"/>
      <c r="E36" s="70">
        <v>0</v>
      </c>
      <c r="F36" s="98">
        <f>SUM(52*E36/4.33)</f>
        <v>0</v>
      </c>
      <c r="G36" s="69">
        <v>0</v>
      </c>
      <c r="J36" s="187">
        <f>ROUND(G36*E36,0)</f>
        <v>0</v>
      </c>
      <c r="K36" s="158">
        <f>ROUND(J36*'RATES-Fed'!E42,0)</f>
        <v>0</v>
      </c>
      <c r="L36" s="50">
        <f>SUM(J36:K36)</f>
        <v>0</v>
      </c>
      <c r="M36" s="187">
        <f>ROUND((J36*1.02),0)</f>
        <v>0</v>
      </c>
      <c r="N36" s="158">
        <f>ROUND(M36*'RATES-Fed'!G42,0)</f>
        <v>0</v>
      </c>
      <c r="O36" s="50">
        <f>SUM(M36:N36)</f>
        <v>0</v>
      </c>
      <c r="P36" s="42">
        <f>SUM(L36+O36)</f>
        <v>0</v>
      </c>
      <c r="Q36" s="5"/>
    </row>
    <row r="37" spans="1:19" s="94" customFormat="1" ht="15.75">
      <c r="A37" s="143"/>
      <c r="C37" s="142" t="s">
        <v>20</v>
      </c>
      <c r="D37" s="143"/>
      <c r="E37" s="70">
        <v>0</v>
      </c>
      <c r="F37" s="98">
        <f>SUM(52*E37/4.33)</f>
        <v>0</v>
      </c>
      <c r="G37" s="69">
        <v>0</v>
      </c>
      <c r="J37" s="187">
        <f>ROUND(G37*E37,0)</f>
        <v>0</v>
      </c>
      <c r="K37" s="158">
        <f>ROUND(J37*'RATES-Fed'!E43,0)</f>
        <v>0</v>
      </c>
      <c r="L37" s="50">
        <f>SUM(J37:K37)</f>
        <v>0</v>
      </c>
      <c r="M37" s="187">
        <f>ROUND((J37*1.02),0)</f>
        <v>0</v>
      </c>
      <c r="N37" s="158">
        <f>ROUND(M37*'RATES-Fed'!G43,0)</f>
        <v>0</v>
      </c>
      <c r="O37" s="50">
        <f>SUM(M37:N37)</f>
        <v>0</v>
      </c>
      <c r="P37" s="42">
        <f>SUM(L37+O37)</f>
        <v>0</v>
      </c>
      <c r="Q37" s="150"/>
      <c r="S37"/>
    </row>
    <row r="38" spans="1:19" s="94" customFormat="1" ht="15.75">
      <c r="A38" s="143"/>
      <c r="C38" s="142" t="s">
        <v>90</v>
      </c>
      <c r="D38" s="143"/>
      <c r="E38" s="70">
        <v>0</v>
      </c>
      <c r="F38" s="98">
        <f>SUM(52*E38/4.33)</f>
        <v>0</v>
      </c>
      <c r="G38" s="69">
        <v>0</v>
      </c>
      <c r="J38" s="201">
        <f>ROUND(G38*E38,0)</f>
        <v>0</v>
      </c>
      <c r="K38" s="202">
        <f>ROUND(J38*'RATES-Fed'!E41,0)</f>
        <v>0</v>
      </c>
      <c r="L38" s="203">
        <f>SUM(J38:K38)</f>
        <v>0</v>
      </c>
      <c r="M38" s="201">
        <f>ROUND((J38*1.02),0)</f>
        <v>0</v>
      </c>
      <c r="N38" s="209">
        <f>ROUND(M38*'RATES-Fed'!G41,0)</f>
        <v>0</v>
      </c>
      <c r="O38" s="203">
        <f>SUM(M38:N38)</f>
        <v>0</v>
      </c>
      <c r="P38" s="204">
        <f>SUM(L38+O38)</f>
        <v>0</v>
      </c>
      <c r="Q38" s="150"/>
      <c r="S38"/>
    </row>
    <row r="39" spans="1:19" ht="15.75">
      <c r="A39" s="1"/>
      <c r="B39" s="1"/>
      <c r="C39" s="1"/>
      <c r="D39" s="188" t="s">
        <v>213</v>
      </c>
      <c r="E39" s="26"/>
      <c r="F39" s="26"/>
      <c r="G39" s="1"/>
      <c r="H39" s="1"/>
      <c r="I39" s="1"/>
      <c r="J39" s="208">
        <f aca="true" t="shared" si="9" ref="J39:O39">SUM(J19+J25+J32+J34+J35+J36+J37+J38)</f>
        <v>0</v>
      </c>
      <c r="K39" s="158">
        <f t="shared" si="9"/>
        <v>0</v>
      </c>
      <c r="L39" s="50">
        <f t="shared" si="9"/>
        <v>0</v>
      </c>
      <c r="M39" s="208">
        <f t="shared" si="9"/>
        <v>0</v>
      </c>
      <c r="N39" s="158">
        <f t="shared" si="9"/>
        <v>0</v>
      </c>
      <c r="O39" s="50">
        <f t="shared" si="9"/>
        <v>0</v>
      </c>
      <c r="P39" s="42">
        <f>SUM(P34:P38)</f>
        <v>0</v>
      </c>
      <c r="Q39" s="5"/>
      <c r="S39" s="213"/>
    </row>
    <row r="40" spans="1:19" ht="7.5" customHeight="1">
      <c r="A40" s="1"/>
      <c r="B40" s="1"/>
      <c r="C40" s="1"/>
      <c r="D40" s="26"/>
      <c r="E40" s="26"/>
      <c r="F40" s="26"/>
      <c r="G40" s="26"/>
      <c r="H40" s="26"/>
      <c r="I40" s="26"/>
      <c r="J40" s="52"/>
      <c r="K40" s="157"/>
      <c r="L40" s="176"/>
      <c r="M40" s="64"/>
      <c r="P40" s="64" t="s">
        <v>1</v>
      </c>
      <c r="Q40" s="6"/>
      <c r="S40" s="213"/>
    </row>
    <row r="41" spans="1:19" s="31" customFormat="1" ht="15.75">
      <c r="A41" s="40" t="s">
        <v>23</v>
      </c>
      <c r="B41" s="21"/>
      <c r="D41" s="28"/>
      <c r="E41" s="28"/>
      <c r="F41" s="28"/>
      <c r="G41" s="28"/>
      <c r="H41" s="28"/>
      <c r="I41" s="28"/>
      <c r="J41" s="47">
        <f>SUM(J39+K39)</f>
        <v>0</v>
      </c>
      <c r="K41" s="159"/>
      <c r="L41" s="178"/>
      <c r="M41" s="47">
        <f>SUM(M39+N39)</f>
        <v>0</v>
      </c>
      <c r="N41" s="159"/>
      <c r="O41" s="144"/>
      <c r="P41" s="47">
        <f>SUM(J41+M41)</f>
        <v>0</v>
      </c>
      <c r="Q41" s="29"/>
      <c r="S41"/>
    </row>
    <row r="42" spans="1:17" ht="8.25" customHeight="1">
      <c r="A42" s="1"/>
      <c r="B42" s="1"/>
      <c r="C42" s="28"/>
      <c r="D42" s="26"/>
      <c r="E42" s="26"/>
      <c r="F42" s="26"/>
      <c r="G42" s="26"/>
      <c r="H42" s="26"/>
      <c r="I42" s="26"/>
      <c r="J42" s="52"/>
      <c r="K42" s="157"/>
      <c r="L42" s="176"/>
      <c r="M42" s="46"/>
      <c r="N42" s="157"/>
      <c r="O42" s="46"/>
      <c r="P42" s="46" t="s">
        <v>1</v>
      </c>
      <c r="Q42" s="6"/>
    </row>
    <row r="43" spans="1:19" ht="15.75">
      <c r="A43" s="22" t="s">
        <v>24</v>
      </c>
      <c r="B43" s="22" t="s">
        <v>25</v>
      </c>
      <c r="C43" s="21"/>
      <c r="D43" s="26"/>
      <c r="E43" s="26"/>
      <c r="F43" s="26"/>
      <c r="G43" s="26"/>
      <c r="H43" s="26"/>
      <c r="I43" s="26"/>
      <c r="J43" s="52"/>
      <c r="K43" s="157"/>
      <c r="L43" s="176"/>
      <c r="M43" s="50"/>
      <c r="N43" s="157"/>
      <c r="O43" s="46"/>
      <c r="P43" s="50" t="s">
        <v>1</v>
      </c>
      <c r="Q43" s="6"/>
      <c r="S43" s="31"/>
    </row>
    <row r="44" spans="1:17" ht="15.75">
      <c r="A44" s="21"/>
      <c r="B44" s="21"/>
      <c r="C44" s="10" t="s">
        <v>26</v>
      </c>
      <c r="D44" s="30"/>
      <c r="E44" s="30"/>
      <c r="F44" s="30"/>
      <c r="G44" s="30"/>
      <c r="H44" s="30"/>
      <c r="I44" s="30"/>
      <c r="J44" s="42">
        <v>0</v>
      </c>
      <c r="K44" s="157"/>
      <c r="L44" s="176"/>
      <c r="M44" s="42">
        <v>0</v>
      </c>
      <c r="N44" s="158"/>
      <c r="O44" s="50"/>
      <c r="P44" s="42">
        <f>SUM(J44:O44)</f>
        <v>0</v>
      </c>
      <c r="Q44" s="6"/>
    </row>
    <row r="45" spans="1:17" ht="15.75">
      <c r="A45" s="21"/>
      <c r="B45" s="21"/>
      <c r="C45" s="10" t="s">
        <v>26</v>
      </c>
      <c r="D45" s="30"/>
      <c r="E45" s="30"/>
      <c r="F45" s="30"/>
      <c r="G45" s="30"/>
      <c r="H45" s="30"/>
      <c r="I45" s="30"/>
      <c r="J45" s="42">
        <v>0</v>
      </c>
      <c r="K45" s="157"/>
      <c r="L45" s="176"/>
      <c r="M45" s="42">
        <v>0</v>
      </c>
      <c r="N45" s="158"/>
      <c r="O45" s="50"/>
      <c r="P45" s="42">
        <f>SUM(J45:O45)</f>
        <v>0</v>
      </c>
      <c r="Q45" s="6"/>
    </row>
    <row r="46" spans="1:17" ht="15.75">
      <c r="A46" s="21"/>
      <c r="B46" s="21"/>
      <c r="C46" s="27" t="s">
        <v>27</v>
      </c>
      <c r="D46" s="28"/>
      <c r="E46" s="28"/>
      <c r="F46" s="28"/>
      <c r="G46" s="28"/>
      <c r="H46" s="28"/>
      <c r="I46" s="28"/>
      <c r="J46" s="53">
        <f>SUM(J44:J45)</f>
        <v>0</v>
      </c>
      <c r="K46" s="160"/>
      <c r="L46" s="179"/>
      <c r="M46" s="53">
        <f>SUM(M44:M45)</f>
        <v>0</v>
      </c>
      <c r="N46" s="160"/>
      <c r="O46" s="48"/>
      <c r="P46" s="53">
        <f>SUM(J46:O46)</f>
        <v>0</v>
      </c>
      <c r="Q46" s="29"/>
    </row>
    <row r="47" spans="1:16" ht="9" customHeight="1">
      <c r="A47" s="1"/>
      <c r="B47" s="1"/>
      <c r="C47" s="28"/>
      <c r="D47" s="26"/>
      <c r="E47" s="26"/>
      <c r="F47" s="26"/>
      <c r="G47" s="26"/>
      <c r="H47" s="26"/>
      <c r="I47" s="26"/>
      <c r="J47" s="52"/>
      <c r="K47" s="157"/>
      <c r="L47" s="176"/>
      <c r="M47" s="46"/>
      <c r="N47" s="157"/>
      <c r="O47" s="46"/>
      <c r="P47" s="46"/>
    </row>
    <row r="48" spans="1:17" ht="15.75">
      <c r="A48" s="22" t="s">
        <v>28</v>
      </c>
      <c r="B48" s="22" t="s">
        <v>29</v>
      </c>
      <c r="C48" s="1"/>
      <c r="D48" s="21"/>
      <c r="E48" s="21"/>
      <c r="F48" s="21"/>
      <c r="G48" s="1"/>
      <c r="H48" s="1"/>
      <c r="I48" s="1"/>
      <c r="J48" s="54"/>
      <c r="K48" s="158"/>
      <c r="L48" s="177"/>
      <c r="M48" s="45" t="s">
        <v>1</v>
      </c>
      <c r="N48" s="158"/>
      <c r="O48" s="50"/>
      <c r="P48" s="45"/>
      <c r="Q48" s="5"/>
    </row>
    <row r="49" spans="1:17" ht="15.75">
      <c r="A49" s="21"/>
      <c r="B49" s="21"/>
      <c r="C49" s="13" t="s">
        <v>30</v>
      </c>
      <c r="D49" s="10" t="s">
        <v>26</v>
      </c>
      <c r="E49" s="31"/>
      <c r="F49" s="31"/>
      <c r="J49" s="42">
        <v>0</v>
      </c>
      <c r="K49" s="158"/>
      <c r="L49" s="177"/>
      <c r="M49" s="42">
        <f>ROUND((J49*1.02),0)</f>
        <v>0</v>
      </c>
      <c r="N49" s="168"/>
      <c r="O49" s="148"/>
      <c r="P49" s="42">
        <f>SUM(J49:O49)</f>
        <v>0</v>
      </c>
      <c r="Q49" s="5"/>
    </row>
    <row r="50" spans="1:17" ht="15.75">
      <c r="A50" s="21"/>
      <c r="B50" s="21"/>
      <c r="C50" s="13" t="s">
        <v>31</v>
      </c>
      <c r="D50" s="10" t="s">
        <v>26</v>
      </c>
      <c r="E50" s="31"/>
      <c r="F50" s="31"/>
      <c r="J50" s="42">
        <v>0</v>
      </c>
      <c r="K50" s="158"/>
      <c r="L50" s="177"/>
      <c r="M50" s="42">
        <f>ROUND((J50*1.02),0)</f>
        <v>0</v>
      </c>
      <c r="N50" s="168"/>
      <c r="O50" s="148"/>
      <c r="P50" s="42">
        <f>SUM(J50:O50)</f>
        <v>0</v>
      </c>
      <c r="Q50" s="5"/>
    </row>
    <row r="51" spans="1:19" s="31" customFormat="1" ht="15.75">
      <c r="A51" s="21"/>
      <c r="B51" s="21"/>
      <c r="C51" s="27" t="s">
        <v>32</v>
      </c>
      <c r="D51" s="28"/>
      <c r="E51" s="28"/>
      <c r="F51" s="28"/>
      <c r="G51" s="28"/>
      <c r="H51" s="28"/>
      <c r="I51" s="28"/>
      <c r="J51" s="53">
        <f>SUM(J49:J50)</f>
        <v>0</v>
      </c>
      <c r="K51" s="160"/>
      <c r="L51" s="179"/>
      <c r="M51" s="55">
        <f>SUM(M49:M50)</f>
        <v>0</v>
      </c>
      <c r="N51" s="160"/>
      <c r="O51" s="48"/>
      <c r="P51" s="55">
        <f>SUM(J51:O51)</f>
        <v>0</v>
      </c>
      <c r="Q51" s="29"/>
      <c r="S51"/>
    </row>
    <row r="52" spans="1:17" ht="10.5" customHeight="1">
      <c r="A52" s="1"/>
      <c r="B52" s="1"/>
      <c r="C52" s="28"/>
      <c r="D52" s="26"/>
      <c r="E52" s="26"/>
      <c r="F52" s="26"/>
      <c r="G52" s="26"/>
      <c r="H52" s="26"/>
      <c r="I52" s="26"/>
      <c r="J52" s="52"/>
      <c r="K52" s="157"/>
      <c r="L52" s="176"/>
      <c r="M52" s="42"/>
      <c r="N52" s="157"/>
      <c r="O52" s="46"/>
      <c r="P52" s="42"/>
      <c r="Q52" s="6"/>
    </row>
    <row r="53" spans="1:19" ht="15.75">
      <c r="A53" s="22" t="s">
        <v>33</v>
      </c>
      <c r="B53" s="22" t="s">
        <v>34</v>
      </c>
      <c r="C53" s="21"/>
      <c r="D53" s="21"/>
      <c r="E53" s="21"/>
      <c r="F53" s="21"/>
      <c r="G53" s="1"/>
      <c r="H53" s="1"/>
      <c r="I53" s="1"/>
      <c r="J53" s="54" t="s">
        <v>1</v>
      </c>
      <c r="K53" s="158"/>
      <c r="L53" s="177"/>
      <c r="M53" s="42" t="s">
        <v>1</v>
      </c>
      <c r="N53" s="158"/>
      <c r="O53" s="50"/>
      <c r="P53" s="42"/>
      <c r="Q53" s="5"/>
      <c r="S53" s="31"/>
    </row>
    <row r="54" spans="1:17" ht="15.75">
      <c r="A54" s="21"/>
      <c r="B54" s="21"/>
      <c r="C54" s="13" t="s">
        <v>35</v>
      </c>
      <c r="D54" s="3"/>
      <c r="E54" s="31"/>
      <c r="F54" s="31"/>
      <c r="J54" s="42">
        <v>0</v>
      </c>
      <c r="K54" s="158"/>
      <c r="L54" s="177"/>
      <c r="M54" s="42">
        <f aca="true" t="shared" si="10" ref="M54:M60">ROUND((J54*1.02),0)</f>
        <v>0</v>
      </c>
      <c r="N54" s="168"/>
      <c r="O54" s="148"/>
      <c r="P54" s="42">
        <f aca="true" t="shared" si="11" ref="P54:P65">SUM(J54:O54)</f>
        <v>0</v>
      </c>
      <c r="Q54" s="5"/>
    </row>
    <row r="55" spans="1:17" ht="15.75">
      <c r="A55" s="21"/>
      <c r="B55" s="21"/>
      <c r="C55" s="13" t="s">
        <v>36</v>
      </c>
      <c r="D55" s="3"/>
      <c r="E55" s="31"/>
      <c r="F55" s="31"/>
      <c r="J55" s="42">
        <v>0</v>
      </c>
      <c r="K55" s="158"/>
      <c r="L55" s="177"/>
      <c r="M55" s="42">
        <f t="shared" si="10"/>
        <v>0</v>
      </c>
      <c r="N55" s="168"/>
      <c r="O55" s="148"/>
      <c r="P55" s="42">
        <f t="shared" si="11"/>
        <v>0</v>
      </c>
      <c r="Q55" s="5"/>
    </row>
    <row r="56" spans="1:17" ht="15.75">
      <c r="A56" s="21"/>
      <c r="B56" s="21"/>
      <c r="C56" s="13" t="s">
        <v>37</v>
      </c>
      <c r="D56" s="3"/>
      <c r="E56" s="31"/>
      <c r="F56" s="31"/>
      <c r="J56" s="42">
        <v>0</v>
      </c>
      <c r="K56" s="158"/>
      <c r="L56" s="177"/>
      <c r="M56" s="42">
        <f t="shared" si="10"/>
        <v>0</v>
      </c>
      <c r="N56" s="168"/>
      <c r="O56" s="148"/>
      <c r="P56" s="42">
        <f t="shared" si="11"/>
        <v>0</v>
      </c>
      <c r="Q56" s="5"/>
    </row>
    <row r="57" spans="1:17" ht="15.75">
      <c r="A57" s="21"/>
      <c r="B57" s="21"/>
      <c r="C57" s="13" t="s">
        <v>38</v>
      </c>
      <c r="D57" s="3"/>
      <c r="E57" s="31"/>
      <c r="F57" s="31"/>
      <c r="J57" s="42">
        <v>0</v>
      </c>
      <c r="K57" s="158"/>
      <c r="L57" s="177"/>
      <c r="M57" s="42">
        <f t="shared" si="10"/>
        <v>0</v>
      </c>
      <c r="N57" s="168"/>
      <c r="O57" s="148"/>
      <c r="P57" s="42">
        <f t="shared" si="11"/>
        <v>0</v>
      </c>
      <c r="Q57" s="5"/>
    </row>
    <row r="58" spans="1:17" ht="15.75">
      <c r="A58" s="21"/>
      <c r="B58" s="21"/>
      <c r="C58" s="235" t="s">
        <v>104</v>
      </c>
      <c r="D58" s="3"/>
      <c r="E58" s="31"/>
      <c r="F58" s="31"/>
      <c r="J58" s="42">
        <v>0</v>
      </c>
      <c r="K58" s="158"/>
      <c r="L58" s="177"/>
      <c r="M58" s="42">
        <f t="shared" si="10"/>
        <v>0</v>
      </c>
      <c r="N58" s="168"/>
      <c r="O58" s="148"/>
      <c r="P58" s="42">
        <f t="shared" si="11"/>
        <v>0</v>
      </c>
      <c r="Q58" s="5"/>
    </row>
    <row r="59" spans="1:17" ht="15.75">
      <c r="A59" s="21"/>
      <c r="B59" s="21"/>
      <c r="C59" s="13" t="s">
        <v>92</v>
      </c>
      <c r="D59" s="3"/>
      <c r="E59" s="31"/>
      <c r="F59" s="31"/>
      <c r="J59" s="42">
        <v>0</v>
      </c>
      <c r="K59" s="158"/>
      <c r="L59" s="177"/>
      <c r="M59" s="42">
        <f t="shared" si="10"/>
        <v>0</v>
      </c>
      <c r="N59" s="169"/>
      <c r="O59" s="42"/>
      <c r="P59" s="42">
        <f t="shared" si="11"/>
        <v>0</v>
      </c>
      <c r="Q59" s="5"/>
    </row>
    <row r="60" spans="1:17" ht="15.75">
      <c r="A60" s="21"/>
      <c r="B60" s="21"/>
      <c r="C60" s="13" t="s">
        <v>39</v>
      </c>
      <c r="D60" s="21"/>
      <c r="E60" s="21"/>
      <c r="F60" s="21"/>
      <c r="G60" s="1"/>
      <c r="H60" s="1"/>
      <c r="I60" s="1"/>
      <c r="J60" s="42">
        <v>0</v>
      </c>
      <c r="K60" s="158"/>
      <c r="L60" s="177"/>
      <c r="M60" s="42">
        <f t="shared" si="10"/>
        <v>0</v>
      </c>
      <c r="N60" s="169"/>
      <c r="O60" s="42"/>
      <c r="P60" s="42">
        <f t="shared" si="11"/>
        <v>0</v>
      </c>
      <c r="Q60" s="5"/>
    </row>
    <row r="61" spans="1:18" ht="15.75">
      <c r="A61" s="21"/>
      <c r="B61" s="21"/>
      <c r="C61" s="22" t="s">
        <v>40</v>
      </c>
      <c r="D61" s="10"/>
      <c r="E61" s="31"/>
      <c r="F61" s="31"/>
      <c r="J61" s="42">
        <v>0</v>
      </c>
      <c r="K61" s="158"/>
      <c r="L61" s="177"/>
      <c r="M61" s="42">
        <v>0</v>
      </c>
      <c r="N61" s="168"/>
      <c r="O61" s="148"/>
      <c r="P61" s="42">
        <f t="shared" si="11"/>
        <v>0</v>
      </c>
      <c r="Q61" s="5"/>
      <c r="R61" s="76"/>
    </row>
    <row r="62" spans="1:18" ht="15.75">
      <c r="A62" s="21"/>
      <c r="B62" s="21"/>
      <c r="C62" s="63" t="s">
        <v>41</v>
      </c>
      <c r="D62" s="10"/>
      <c r="E62" s="31"/>
      <c r="F62" s="31"/>
      <c r="J62" s="42">
        <v>0</v>
      </c>
      <c r="K62" s="158"/>
      <c r="L62" s="177"/>
      <c r="M62" s="42">
        <v>0</v>
      </c>
      <c r="N62" s="168"/>
      <c r="O62" s="148"/>
      <c r="P62" s="42">
        <f t="shared" si="11"/>
        <v>0</v>
      </c>
      <c r="Q62" s="5"/>
      <c r="R62" s="76"/>
    </row>
    <row r="63" spans="1:18" ht="15.75">
      <c r="A63" s="21"/>
      <c r="B63" s="21"/>
      <c r="C63" s="63" t="s">
        <v>96</v>
      </c>
      <c r="D63" s="10"/>
      <c r="E63" s="31"/>
      <c r="F63" s="31"/>
      <c r="J63" s="42">
        <v>0</v>
      </c>
      <c r="K63" s="158"/>
      <c r="L63" s="177"/>
      <c r="M63" s="42">
        <v>0</v>
      </c>
      <c r="N63" s="168"/>
      <c r="O63" s="148"/>
      <c r="P63" s="42">
        <f t="shared" si="11"/>
        <v>0</v>
      </c>
      <c r="Q63" s="5"/>
      <c r="R63" s="76"/>
    </row>
    <row r="64" spans="1:18" ht="15.75">
      <c r="A64" s="21"/>
      <c r="B64" s="21"/>
      <c r="C64" s="63" t="s">
        <v>97</v>
      </c>
      <c r="D64" s="10"/>
      <c r="E64" s="31"/>
      <c r="F64" s="31"/>
      <c r="J64" s="42">
        <v>0</v>
      </c>
      <c r="K64" s="158"/>
      <c r="L64" s="177"/>
      <c r="M64" s="42">
        <v>0</v>
      </c>
      <c r="N64" s="168"/>
      <c r="O64" s="148"/>
      <c r="P64" s="42">
        <f t="shared" si="11"/>
        <v>0</v>
      </c>
      <c r="Q64" s="5"/>
      <c r="R64" s="76"/>
    </row>
    <row r="65" spans="1:18" ht="15.75">
      <c r="A65" s="40" t="s">
        <v>42</v>
      </c>
      <c r="D65" s="28"/>
      <c r="E65" s="28"/>
      <c r="F65" s="28"/>
      <c r="G65" s="28"/>
      <c r="H65" s="28"/>
      <c r="I65" s="28"/>
      <c r="J65" s="51">
        <f>SUM(J54:J64)</f>
        <v>0</v>
      </c>
      <c r="K65" s="161"/>
      <c r="L65" s="180"/>
      <c r="M65" s="43">
        <f>SUM(M54:M64)</f>
        <v>0</v>
      </c>
      <c r="N65" s="161"/>
      <c r="O65" s="44"/>
      <c r="P65" s="43">
        <f t="shared" si="11"/>
        <v>0</v>
      </c>
      <c r="Q65" s="34"/>
      <c r="R65" s="76"/>
    </row>
    <row r="66" spans="1:17" ht="7.5" customHeight="1">
      <c r="A66" s="21"/>
      <c r="B66" s="21"/>
      <c r="C66" s="26"/>
      <c r="D66" s="28"/>
      <c r="E66" s="28"/>
      <c r="F66" s="28"/>
      <c r="G66" s="26"/>
      <c r="H66" s="26"/>
      <c r="I66" s="26"/>
      <c r="J66" s="52"/>
      <c r="K66" s="157"/>
      <c r="L66" s="176"/>
      <c r="M66" s="46"/>
      <c r="N66" s="157"/>
      <c r="O66" s="46"/>
      <c r="P66" s="46" t="s">
        <v>1</v>
      </c>
      <c r="Q66" s="6"/>
    </row>
    <row r="67" spans="1:17" ht="16.5">
      <c r="A67" s="28"/>
      <c r="B67" s="28"/>
      <c r="C67" s="28"/>
      <c r="D67" s="21"/>
      <c r="E67" s="32" t="s">
        <v>43</v>
      </c>
      <c r="F67" s="32"/>
      <c r="G67" s="39"/>
      <c r="H67" s="39"/>
      <c r="I67" s="39"/>
      <c r="J67" s="65">
        <f>ROUND(+J65+J51+J46+J41,0)</f>
        <v>0</v>
      </c>
      <c r="K67" s="162"/>
      <c r="L67" s="181"/>
      <c r="M67" s="65">
        <f>ROUND(+M65+M51+M46+M41,0)</f>
        <v>0</v>
      </c>
      <c r="N67" s="162"/>
      <c r="O67" s="65"/>
      <c r="P67" s="65">
        <f>SUM(J67:O67)</f>
        <v>0</v>
      </c>
      <c r="Q67" s="34"/>
    </row>
    <row r="68" spans="1:16" ht="7.5" customHeight="1">
      <c r="A68" s="28"/>
      <c r="B68" s="28"/>
      <c r="C68" s="28"/>
      <c r="D68" s="21"/>
      <c r="E68" s="32"/>
      <c r="F68" s="32"/>
      <c r="G68" s="39"/>
      <c r="H68" s="39"/>
      <c r="I68" s="39"/>
      <c r="J68" s="66"/>
      <c r="K68" s="162"/>
      <c r="L68" s="181"/>
      <c r="M68" s="65"/>
      <c r="N68" s="170"/>
      <c r="O68" s="196"/>
      <c r="P68" s="65"/>
    </row>
    <row r="69" spans="1:18" ht="15.75">
      <c r="A69" s="28"/>
      <c r="B69" s="28"/>
      <c r="C69" s="28"/>
      <c r="D69" s="21"/>
      <c r="G69" s="39"/>
      <c r="H69" s="96" t="s">
        <v>123</v>
      </c>
      <c r="I69" s="39"/>
      <c r="J69" s="74">
        <f>(IF((J61)&gt;25000,(25000),J61)+((IF((J62)&gt;25000,(25000),J62))+((IF((J63)&gt;25000,(25000),J63))+((IF((J64)&gt;25000,(25000),J64))+SUM(J67-J46-J58-J61-J62-J63-J64-J59)))))</f>
        <v>0</v>
      </c>
      <c r="K69" s="163"/>
      <c r="L69" s="182"/>
      <c r="M69" s="74">
        <f>IF(J61&gt;=(25000),0,((IF((J61+M61)&lt;=(25000),M61,(25000-J61)))))+IF(J62&gt;=(25000),0,((IF((J62+M62)&lt;=(25000),M62,(25000-J62)))))+IF(J63&gt;=(25000),0,((IF((J63+M63)&lt;=(25000),M63,(25000-J63)))))+IF(J64&gt;=(25000),0,((IF((J64+M64)&lt;=(25000),M64,(25000-J64)))))+SUM(M67-M46-M58-M61-M62-M63-M64-M59)</f>
        <v>0</v>
      </c>
      <c r="N69" s="163"/>
      <c r="O69" s="197"/>
      <c r="P69" s="74">
        <f>SUM(J69:O69)</f>
        <v>0</v>
      </c>
      <c r="R69" s="76"/>
    </row>
    <row r="70" spans="1:17" ht="15.75">
      <c r="A70" s="33" t="s">
        <v>122</v>
      </c>
      <c r="B70" s="1"/>
      <c r="C70" s="1"/>
      <c r="J70" s="42"/>
      <c r="K70" s="164"/>
      <c r="L70" s="183"/>
      <c r="M70" s="50"/>
      <c r="N70" s="164"/>
      <c r="O70" s="56"/>
      <c r="P70" s="50"/>
      <c r="Q70" s="5"/>
    </row>
    <row r="71" spans="1:17" ht="15.75">
      <c r="A71" s="13" t="s">
        <v>125</v>
      </c>
      <c r="B71" s="1"/>
      <c r="D71" s="7">
        <f>IF(AND(($E$82)="R",($E$84)="C"),('RATES-Fed'!E46),IF(AND(($E$82)="R",($E$84)="O"),('RATES-Fed'!E51),IF(AND(($E$82)="I",($E$84)="C"),('RATES-Fed'!E47),IF(AND(($E$82)="I",($E$84)="O"),('RATES-Fed'!E52),IF(AND(($E$82)="P",($E$84)="C"),('RATES-Fed'!E48),IF(AND(($E$82)="P",($E$84)="O"),('RATES-Fed'!E53),($E$83)))))))</f>
        <v>0.605</v>
      </c>
      <c r="E71" s="7">
        <f>IF(AND(($E$82)="R",($E$84)="C"),('RATES-Fed'!G46),IF(AND(($E$82)="R",($E$84)="O"),('RATES-Fed'!G51),IF(AND(($E$82)="I",($E$84)="C"),('RATES-Fed'!G47),IF(AND(($E$82)="I",($E$84)="O"),('RATES-Fed'!G52),IF(AND(($E$82)="P",($E$84)="C"),('RATES-Fed'!G48),IF(AND(($E$82)="P",($E$84)="O"),('RATES-Fed'!G53),($E$83)))))))</f>
        <v>0.605</v>
      </c>
      <c r="F71" s="7"/>
      <c r="G71" s="7"/>
      <c r="H71" s="7"/>
      <c r="J71" s="50">
        <f>ROUND(+D71*(J67-J46-J61-J62-J63-J64-J58-J59),0)</f>
        <v>0</v>
      </c>
      <c r="K71" s="158"/>
      <c r="L71" s="177"/>
      <c r="M71" s="50">
        <f>ROUND(+E71*(M67-M46-M61-M62-M63-M64-M58-M59),0)</f>
        <v>0</v>
      </c>
      <c r="N71" s="158"/>
      <c r="O71" s="50"/>
      <c r="P71" s="50">
        <f aca="true" t="shared" si="12" ref="P71:P76">SUM(J71:O71)</f>
        <v>0</v>
      </c>
      <c r="Q71" s="5"/>
    </row>
    <row r="72" spans="1:17" ht="15.75">
      <c r="A72" s="13" t="s">
        <v>44</v>
      </c>
      <c r="D72" s="7">
        <f aca="true" t="shared" si="13" ref="D72:E74">+D71</f>
        <v>0.605</v>
      </c>
      <c r="E72" s="7">
        <f t="shared" si="13"/>
        <v>0.605</v>
      </c>
      <c r="F72" s="7"/>
      <c r="G72" s="7"/>
      <c r="H72" s="7"/>
      <c r="J72" s="50">
        <f>(IF((J61)&gt;25000,(25000),J61)*D72)</f>
        <v>0</v>
      </c>
      <c r="K72" s="50"/>
      <c r="L72" s="50"/>
      <c r="M72" s="50">
        <f>IF(J61&gt;=(25000),0,((IF((J61+M61)&lt;=(25000),M61,(25000-J61))))*E72)</f>
        <v>0</v>
      </c>
      <c r="N72" s="158"/>
      <c r="O72" s="50"/>
      <c r="P72" s="50">
        <f t="shared" si="12"/>
        <v>0</v>
      </c>
      <c r="Q72" s="5"/>
    </row>
    <row r="73" spans="1:17" ht="15.75">
      <c r="A73" s="13" t="s">
        <v>45</v>
      </c>
      <c r="D73" s="7">
        <f t="shared" si="13"/>
        <v>0.605</v>
      </c>
      <c r="E73" s="7">
        <f t="shared" si="13"/>
        <v>0.605</v>
      </c>
      <c r="F73" s="7"/>
      <c r="G73" s="7"/>
      <c r="H73" s="7"/>
      <c r="J73" s="50">
        <f>(IF((J62)&gt;25000,(25000),J62)*D73)</f>
        <v>0</v>
      </c>
      <c r="K73" s="274"/>
      <c r="L73" s="177"/>
      <c r="M73" s="50">
        <f>IF(J62&gt;=(25000),0,((IF((J62+M62)&lt;=(25000),M62,(25000-J62))))*E73)</f>
        <v>0</v>
      </c>
      <c r="N73" s="158"/>
      <c r="O73" s="50"/>
      <c r="P73" s="50">
        <f t="shared" si="12"/>
        <v>0</v>
      </c>
      <c r="Q73" s="5"/>
    </row>
    <row r="74" spans="1:17" ht="15.75">
      <c r="A74" s="13" t="s">
        <v>94</v>
      </c>
      <c r="D74" s="7">
        <f t="shared" si="13"/>
        <v>0.605</v>
      </c>
      <c r="E74" s="7">
        <f t="shared" si="13"/>
        <v>0.605</v>
      </c>
      <c r="F74" s="7"/>
      <c r="G74" s="7"/>
      <c r="H74" s="7"/>
      <c r="J74" s="50">
        <f>(IF((J63)&gt;25000,(25000),J63)*D74)</f>
        <v>0</v>
      </c>
      <c r="K74" s="274"/>
      <c r="L74" s="177"/>
      <c r="M74" s="50">
        <f>IF(J63&gt;=(25000),0,((IF((J63+M63)&lt;=(25000),M63,(25000-J63))))*E74)</f>
        <v>0</v>
      </c>
      <c r="N74" s="158"/>
      <c r="O74" s="50"/>
      <c r="P74" s="50">
        <f t="shared" si="12"/>
        <v>0</v>
      </c>
      <c r="Q74" s="5"/>
    </row>
    <row r="75" spans="1:17" ht="15.75">
      <c r="A75" s="13" t="s">
        <v>95</v>
      </c>
      <c r="B75" s="1"/>
      <c r="C75" s="1"/>
      <c r="D75" s="7">
        <f>+D72</f>
        <v>0.605</v>
      </c>
      <c r="E75" s="7">
        <f>+E72</f>
        <v>0.605</v>
      </c>
      <c r="F75" s="7"/>
      <c r="G75" s="7"/>
      <c r="H75" s="7"/>
      <c r="J75" s="50">
        <f>(IF((J64)&gt;25000,(25000),J64)*D75)</f>
        <v>0</v>
      </c>
      <c r="K75" s="274"/>
      <c r="L75" s="177"/>
      <c r="M75" s="50">
        <f>IF(J64&gt;=(25000),0,((IF((J64+M64)&lt;=(25000),M64,(25000-J64))))*E75)</f>
        <v>0</v>
      </c>
      <c r="N75" s="158"/>
      <c r="O75" s="50"/>
      <c r="P75" s="50">
        <f t="shared" si="12"/>
        <v>0</v>
      </c>
      <c r="Q75" s="5"/>
    </row>
    <row r="76" spans="1:17" ht="15.75">
      <c r="A76" s="40" t="s">
        <v>124</v>
      </c>
      <c r="B76" s="1"/>
      <c r="C76" s="24"/>
      <c r="D76" s="35"/>
      <c r="E76" s="7"/>
      <c r="F76" s="7"/>
      <c r="G76" s="7"/>
      <c r="H76" s="7"/>
      <c r="I76" s="7"/>
      <c r="J76" s="53">
        <f>SUM(J71:J75)</f>
        <v>0</v>
      </c>
      <c r="K76" s="161"/>
      <c r="L76" s="180"/>
      <c r="M76" s="53">
        <f>SUM(M71:M75)</f>
        <v>0</v>
      </c>
      <c r="N76" s="161"/>
      <c r="O76" s="44"/>
      <c r="P76" s="53">
        <f t="shared" si="12"/>
        <v>0</v>
      </c>
      <c r="Q76" s="5"/>
    </row>
    <row r="77" spans="1:17" ht="6.75" customHeight="1">
      <c r="A77" s="40"/>
      <c r="B77" s="1"/>
      <c r="C77" s="24"/>
      <c r="D77" s="35"/>
      <c r="E77" s="7"/>
      <c r="F77" s="7"/>
      <c r="G77" s="7"/>
      <c r="H77" s="7"/>
      <c r="I77" s="7"/>
      <c r="J77" s="61"/>
      <c r="K77" s="161"/>
      <c r="L77" s="180"/>
      <c r="M77" s="62"/>
      <c r="N77" s="161"/>
      <c r="O77" s="44"/>
      <c r="P77" s="62"/>
      <c r="Q77" s="5"/>
    </row>
    <row r="78" spans="1:17" ht="19.5" thickBot="1">
      <c r="A78" s="40"/>
      <c r="B78" s="1"/>
      <c r="C78" s="60" t="s">
        <v>46</v>
      </c>
      <c r="D78" s="35"/>
      <c r="E78" s="7"/>
      <c r="F78" s="7"/>
      <c r="G78" s="7"/>
      <c r="H78" s="7"/>
      <c r="I78" s="7"/>
      <c r="J78" s="72">
        <f>J76+J67</f>
        <v>0</v>
      </c>
      <c r="K78" s="162"/>
      <c r="L78" s="181"/>
      <c r="M78" s="72">
        <f>M76+M67</f>
        <v>0</v>
      </c>
      <c r="N78" s="162"/>
      <c r="O78" s="65"/>
      <c r="P78" s="72">
        <f>SUM(J78:O78)</f>
        <v>0</v>
      </c>
      <c r="Q78" s="5"/>
    </row>
    <row r="79" spans="1:17" ht="8.25" customHeight="1" thickTop="1">
      <c r="A79" s="28"/>
      <c r="B79" s="1"/>
      <c r="C79" s="35"/>
      <c r="D79" s="7"/>
      <c r="E79" s="7"/>
      <c r="F79" s="7"/>
      <c r="G79" s="7"/>
      <c r="H79" s="7"/>
      <c r="I79" s="7"/>
      <c r="J79" s="50"/>
      <c r="K79" s="158"/>
      <c r="L79" s="177"/>
      <c r="M79" s="50"/>
      <c r="N79" s="158"/>
      <c r="O79" s="50"/>
      <c r="P79" s="50" t="s">
        <v>1</v>
      </c>
      <c r="Q79" s="5"/>
    </row>
    <row r="80" spans="1:17" ht="9" customHeight="1">
      <c r="A80" s="1"/>
      <c r="B80" s="1"/>
      <c r="C80" s="1"/>
      <c r="D80" s="1"/>
      <c r="E80" s="1"/>
      <c r="F80" s="1"/>
      <c r="G80" s="1"/>
      <c r="H80" s="1"/>
      <c r="I80" s="1"/>
      <c r="J80" s="49"/>
      <c r="K80" s="165"/>
      <c r="L80" s="184"/>
      <c r="M80" s="58"/>
      <c r="N80" s="165"/>
      <c r="O80" s="57"/>
      <c r="P80" s="58"/>
      <c r="Q80" s="1"/>
    </row>
    <row r="81" ht="15.75">
      <c r="C81" s="36" t="s">
        <v>126</v>
      </c>
    </row>
    <row r="82" spans="3:7" ht="15.75">
      <c r="C82" s="14" t="s">
        <v>47</v>
      </c>
      <c r="E82" s="15" t="s">
        <v>48</v>
      </c>
      <c r="G82" s="14" t="s">
        <v>49</v>
      </c>
    </row>
    <row r="83" spans="3:6" ht="15.75">
      <c r="C83" s="14" t="s">
        <v>205</v>
      </c>
      <c r="E83" s="9">
        <v>0</v>
      </c>
      <c r="F83" s="9"/>
    </row>
    <row r="84" spans="3:7" ht="15.75">
      <c r="C84" s="14" t="s">
        <v>50</v>
      </c>
      <c r="E84" s="172" t="s">
        <v>51</v>
      </c>
      <c r="G84" s="14" t="s">
        <v>52</v>
      </c>
    </row>
    <row r="87" spans="4:13" ht="15.75">
      <c r="D87" s="222" t="s">
        <v>231</v>
      </c>
      <c r="H87" s="220">
        <f>+'RATES-Fed'!E31</f>
        <v>0.605</v>
      </c>
      <c r="J87" s="219">
        <f>J76/12*'RATES-Fed'!$C$46</f>
        <v>0</v>
      </c>
      <c r="L87" s="220">
        <f>+'RATES-Fed'!G31</f>
        <v>0.605</v>
      </c>
      <c r="M87" s="219">
        <f>M76/12*'RATES-Fed'!$C$46</f>
        <v>0</v>
      </c>
    </row>
    <row r="88" spans="4:16" ht="18.75">
      <c r="D88" s="302" t="s">
        <v>232</v>
      </c>
      <c r="E88" s="302"/>
      <c r="F88" s="302"/>
      <c r="G88" s="302"/>
      <c r="H88" s="220">
        <f>+'RATES-Fed'!G31</f>
        <v>0.605</v>
      </c>
      <c r="J88" s="219">
        <f>J76/12*'RATES-Fed'!$D$46</f>
        <v>0</v>
      </c>
      <c r="L88" s="220">
        <f>+'RATES-Fed'!I31</f>
        <v>0.605</v>
      </c>
      <c r="M88" s="219">
        <f>M76/12*'RATES-Fed'!$D$46</f>
        <v>0</v>
      </c>
      <c r="N88" s="313">
        <f>'RATES-Fed'!Q67</f>
        <v>0</v>
      </c>
      <c r="O88" s="313"/>
      <c r="P88" s="313"/>
    </row>
    <row r="89" spans="4:13" ht="15.75">
      <c r="D89" s="302"/>
      <c r="E89" s="302"/>
      <c r="F89" s="302"/>
      <c r="G89" s="302"/>
      <c r="J89" s="219">
        <f>SUM(J87:J88)</f>
        <v>0</v>
      </c>
      <c r="M89" s="219">
        <f>SUM(M87:M88)</f>
        <v>0</v>
      </c>
    </row>
  </sheetData>
  <sheetProtection/>
  <mergeCells count="5">
    <mergeCell ref="K4:O5"/>
    <mergeCell ref="J8:L8"/>
    <mergeCell ref="M8:O8"/>
    <mergeCell ref="N88:P88"/>
    <mergeCell ref="D88:G89"/>
  </mergeCells>
  <dataValidations count="1">
    <dataValidation type="list" allowBlank="1" showInputMessage="1" showErrorMessage="1" sqref="D11 D13 D15 D17:D18 D21:D24">
      <formula1>APPTS</formula1>
    </dataValidation>
  </dataValidations>
  <hyperlinks>
    <hyperlink ref="C58" r:id="rId1" display="UC Tuition rates (Not Subject to Indirect)"/>
  </hyperlinks>
  <printOptions horizontalCentered="1"/>
  <pageMargins left="0.5" right="0.3" top="0.5" bottom="0.5" header="0.5" footer="0.5"/>
  <pageSetup fitToHeight="1" fitToWidth="1" horizontalDpi="300" verticalDpi="300" orientation="portrait" scale="61" r:id="rId4"/>
  <legacyDrawing r:id="rId3"/>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V88"/>
  <sheetViews>
    <sheetView showGridLines="0" zoomScale="75" zoomScaleNormal="75" workbookViewId="0" topLeftCell="A1">
      <selection activeCell="K21" sqref="K21"/>
    </sheetView>
  </sheetViews>
  <sheetFormatPr defaultColWidth="9.625" defaultRowHeight="15.75"/>
  <cols>
    <col min="1" max="2" width="2.625" style="0" customWidth="1"/>
    <col min="3" max="3" width="20.50390625" style="0" customWidth="1"/>
    <col min="4" max="4" width="16.125" style="0" customWidth="1"/>
    <col min="5" max="6" width="7.625" style="0" customWidth="1"/>
    <col min="7" max="7" width="9.875" style="0" customWidth="1"/>
    <col min="8" max="8" width="7.25390625" style="0" customWidth="1"/>
    <col min="9" max="9" width="7.25390625" style="0" hidden="1" customWidth="1"/>
    <col min="10" max="10" width="13.75390625" style="0" customWidth="1"/>
    <col min="11" max="11" width="8.125" style="166" bestFit="1" customWidth="1"/>
    <col min="12" max="12" width="10.125" style="185" bestFit="1" customWidth="1"/>
    <col min="13" max="13" width="11.25390625" style="0" customWidth="1"/>
    <col min="14" max="14" width="9.25390625" style="166" bestFit="1" customWidth="1"/>
    <col min="15" max="15" width="9.50390625" style="94" bestFit="1" customWidth="1"/>
    <col min="16" max="16" width="11.25390625" style="0" customWidth="1"/>
    <col min="17" max="17" width="9.25390625" style="166" bestFit="1" customWidth="1"/>
    <col min="18" max="18" width="8.75390625" style="94" bestFit="1" customWidth="1"/>
    <col min="19" max="19" width="14.625" style="0" customWidth="1"/>
    <col min="20" max="20" width="2.625" style="0" customWidth="1"/>
  </cols>
  <sheetData>
    <row r="1" spans="1:18" ht="18.75">
      <c r="A1" s="17" t="s">
        <v>0</v>
      </c>
      <c r="B1" s="18"/>
      <c r="C1" s="18"/>
      <c r="D1" s="18"/>
      <c r="E1" s="18"/>
      <c r="F1" s="18"/>
      <c r="G1" s="18"/>
      <c r="H1" s="18"/>
      <c r="I1" s="18"/>
      <c r="J1" s="19"/>
      <c r="K1" s="152"/>
      <c r="L1" s="173"/>
      <c r="M1" s="37"/>
      <c r="N1" s="167"/>
      <c r="O1" s="195"/>
      <c r="P1" s="37"/>
      <c r="Q1" s="167"/>
      <c r="R1" s="195"/>
    </row>
    <row r="2" spans="1:19" ht="18.75">
      <c r="A2" s="17" t="s">
        <v>215</v>
      </c>
      <c r="B2" s="18"/>
      <c r="C2" s="18"/>
      <c r="D2" s="18"/>
      <c r="E2" s="18"/>
      <c r="F2" s="18"/>
      <c r="G2" s="18"/>
      <c r="H2" s="18"/>
      <c r="I2" s="18"/>
      <c r="J2" s="19"/>
      <c r="K2" s="152"/>
      <c r="L2" s="173"/>
      <c r="M2" s="37"/>
      <c r="N2" s="167"/>
      <c r="O2" s="195"/>
      <c r="P2" s="37"/>
      <c r="Q2" s="167"/>
      <c r="R2" s="195"/>
      <c r="S2" s="37"/>
    </row>
    <row r="3" spans="1:19" ht="9.75" customHeight="1">
      <c r="A3" s="10" t="s">
        <v>1</v>
      </c>
      <c r="B3" s="1"/>
      <c r="J3" s="11" t="s">
        <v>1</v>
      </c>
      <c r="K3" s="153"/>
      <c r="L3" s="174"/>
      <c r="M3" s="8"/>
      <c r="P3" s="8"/>
      <c r="S3" s="8"/>
    </row>
    <row r="4" spans="1:19" ht="15.75">
      <c r="A4" s="22" t="s">
        <v>2</v>
      </c>
      <c r="B4" s="1"/>
      <c r="D4" s="10" t="s">
        <v>71</v>
      </c>
      <c r="G4" s="3"/>
      <c r="J4" s="20" t="s">
        <v>3</v>
      </c>
      <c r="K4" s="303" t="s">
        <v>71</v>
      </c>
      <c r="L4" s="304"/>
      <c r="M4" s="305"/>
      <c r="N4" s="305"/>
      <c r="O4" s="305"/>
      <c r="P4" s="305"/>
      <c r="Q4" s="305"/>
      <c r="R4" s="306"/>
      <c r="S4" s="8"/>
    </row>
    <row r="5" spans="1:19" ht="18.75">
      <c r="A5" s="22" t="s">
        <v>4</v>
      </c>
      <c r="B5" s="1"/>
      <c r="D5" s="10" t="s">
        <v>71</v>
      </c>
      <c r="E5" s="3"/>
      <c r="F5" s="3"/>
      <c r="H5" s="2"/>
      <c r="I5" s="2"/>
      <c r="J5" s="38"/>
      <c r="K5" s="307"/>
      <c r="L5" s="308"/>
      <c r="M5" s="308"/>
      <c r="N5" s="308"/>
      <c r="O5" s="308"/>
      <c r="P5" s="308"/>
      <c r="Q5" s="308"/>
      <c r="R5" s="309"/>
      <c r="S5" s="8"/>
    </row>
    <row r="6" spans="1:19" ht="15.75">
      <c r="A6" s="14"/>
      <c r="B6" s="22" t="s">
        <v>5</v>
      </c>
      <c r="D6" s="73">
        <f>'RATES-Fed'!E2</f>
        <v>42917</v>
      </c>
      <c r="E6" s="12" t="s">
        <v>6</v>
      </c>
      <c r="F6" s="12"/>
      <c r="G6" s="73">
        <f>'RATES-Fed'!G2</f>
        <v>44742</v>
      </c>
      <c r="H6" s="4"/>
      <c r="I6" s="4"/>
      <c r="J6" s="2"/>
      <c r="K6" s="154"/>
      <c r="L6" s="175"/>
      <c r="M6" s="3"/>
      <c r="N6" s="154"/>
      <c r="O6" s="149"/>
      <c r="P6" s="3"/>
      <c r="Q6" s="154"/>
      <c r="R6" s="149"/>
      <c r="S6" s="8"/>
    </row>
    <row r="7" spans="5:20" ht="7.5" customHeight="1">
      <c r="E7" s="3"/>
      <c r="F7" s="3"/>
      <c r="G7" s="1"/>
      <c r="H7" s="1"/>
      <c r="I7" s="1"/>
      <c r="J7" s="16" t="s">
        <v>1</v>
      </c>
      <c r="K7" s="153"/>
      <c r="L7" s="174"/>
      <c r="M7" s="8"/>
      <c r="N7" s="153"/>
      <c r="O7" s="143"/>
      <c r="P7" s="8"/>
      <c r="Q7" s="153"/>
      <c r="R7" s="143"/>
      <c r="S7" s="8"/>
      <c r="T7" s="1"/>
    </row>
    <row r="8" spans="1:20" ht="15.75">
      <c r="A8" s="21"/>
      <c r="B8" s="21"/>
      <c r="C8" s="21"/>
      <c r="D8" s="21"/>
      <c r="E8" s="21"/>
      <c r="F8" s="21"/>
      <c r="G8" s="21"/>
      <c r="H8" s="21"/>
      <c r="I8" s="21"/>
      <c r="J8" s="292" t="s">
        <v>21</v>
      </c>
      <c r="K8" s="293"/>
      <c r="L8" s="294"/>
      <c r="M8" s="310" t="s">
        <v>54</v>
      </c>
      <c r="N8" s="311"/>
      <c r="O8" s="312"/>
      <c r="P8" s="310" t="s">
        <v>56</v>
      </c>
      <c r="Q8" s="311"/>
      <c r="R8" s="312"/>
      <c r="S8" s="171" t="s">
        <v>8</v>
      </c>
      <c r="T8" s="21"/>
    </row>
    <row r="9" spans="1:20" s="147" customFormat="1" ht="15.75">
      <c r="A9" s="145" t="s">
        <v>9</v>
      </c>
      <c r="B9" s="145" t="s">
        <v>10</v>
      </c>
      <c r="C9" s="145"/>
      <c r="D9" s="145"/>
      <c r="E9" s="145"/>
      <c r="F9" s="145"/>
      <c r="G9" s="145"/>
      <c r="H9" s="145"/>
      <c r="I9" s="145"/>
      <c r="J9" s="189" t="s">
        <v>210</v>
      </c>
      <c r="K9" s="155" t="s">
        <v>211</v>
      </c>
      <c r="L9" s="145" t="s">
        <v>212</v>
      </c>
      <c r="M9" s="194" t="s">
        <v>210</v>
      </c>
      <c r="N9" s="155" t="s">
        <v>211</v>
      </c>
      <c r="O9" s="145" t="s">
        <v>212</v>
      </c>
      <c r="P9" s="194" t="s">
        <v>210</v>
      </c>
      <c r="Q9" s="155" t="s">
        <v>211</v>
      </c>
      <c r="R9" s="145" t="s">
        <v>212</v>
      </c>
      <c r="S9" s="146"/>
      <c r="T9" s="145"/>
    </row>
    <row r="10" spans="1:20" ht="15.75">
      <c r="A10" s="1"/>
      <c r="B10" s="23" t="s">
        <v>11</v>
      </c>
      <c r="C10" s="24"/>
      <c r="D10" s="24" t="s">
        <v>103</v>
      </c>
      <c r="E10" s="1" t="s">
        <v>12</v>
      </c>
      <c r="F10" s="41" t="s">
        <v>129</v>
      </c>
      <c r="G10" s="41" t="s">
        <v>13</v>
      </c>
      <c r="H10" s="1"/>
      <c r="I10" s="1"/>
      <c r="J10" s="190"/>
      <c r="K10" s="153"/>
      <c r="L10" s="143"/>
      <c r="M10" s="190"/>
      <c r="N10" s="153"/>
      <c r="O10" s="143"/>
      <c r="P10" s="190"/>
      <c r="Q10" s="153"/>
      <c r="R10" s="143"/>
      <c r="S10" s="2">
        <f>IF(SUM(J10:N10)=0,"",SUM(J10:N10))</f>
      </c>
      <c r="T10" s="1"/>
    </row>
    <row r="11" spans="1:20" ht="15.75">
      <c r="A11" s="1"/>
      <c r="B11" s="1" t="s">
        <v>14</v>
      </c>
      <c r="C11" s="10" t="str">
        <f>D5</f>
        <v>name</v>
      </c>
      <c r="D11" s="140" t="s">
        <v>131</v>
      </c>
      <c r="E11" s="70">
        <v>0</v>
      </c>
      <c r="F11" s="99">
        <f aca="true" t="shared" si="0" ref="F11:F18">IF(D11="CAL",(52*E11/4.3333),(IF(D11="ACAD",(32*E11/4.33333),IF(D11="SUMR",(14*E11/4.33333),IF(D11="PT",(0),0)))))</f>
        <v>0</v>
      </c>
      <c r="G11" s="69">
        <v>0</v>
      </c>
      <c r="J11" s="187">
        <f>ROUND(G11*E11,0)</f>
        <v>0</v>
      </c>
      <c r="K11" s="156">
        <f>ROUND(J11*'RATES-Fed'!E38,0)</f>
        <v>0</v>
      </c>
      <c r="L11" s="67">
        <f>ROUND(K11+J11,0)</f>
        <v>0</v>
      </c>
      <c r="M11" s="187">
        <f>ROUND((J11*1.02),0)</f>
        <v>0</v>
      </c>
      <c r="N11" s="156">
        <f>ROUND(M11*'RATES-Fed'!G38,0)</f>
        <v>0</v>
      </c>
      <c r="O11" s="67">
        <f aca="true" t="shared" si="1" ref="O11:O18">ROUND(M11+N11,0)</f>
        <v>0</v>
      </c>
      <c r="P11" s="187">
        <f>ROUND((M11*1.02),0)</f>
        <v>0</v>
      </c>
      <c r="Q11" s="156">
        <f>ROUND(P11*'RATES-Fed'!I38,0)</f>
        <v>0</v>
      </c>
      <c r="R11" s="67">
        <f>SUM(P11:Q11)</f>
        <v>0</v>
      </c>
      <c r="S11" s="42">
        <f>SUM(L11+O11+R11)</f>
        <v>0</v>
      </c>
      <c r="T11" s="1"/>
    </row>
    <row r="12" spans="1:20" ht="15.75">
      <c r="A12" s="1"/>
      <c r="B12" s="1" t="s">
        <v>14</v>
      </c>
      <c r="C12" s="3"/>
      <c r="D12" s="140" t="str">
        <f>IF(D11="ACAD",("SUMR"),"")</f>
        <v>SUMR</v>
      </c>
      <c r="E12" s="70">
        <v>0</v>
      </c>
      <c r="F12" s="99">
        <f t="shared" si="0"/>
        <v>0</v>
      </c>
      <c r="G12" s="69">
        <f>+G11*0.4375</f>
        <v>0</v>
      </c>
      <c r="J12" s="187">
        <f aca="true" t="shared" si="2" ref="J12:J18">ROUND(G12*E12,0)</f>
        <v>0</v>
      </c>
      <c r="K12" s="156">
        <f>ROUND(J12*'RATES-Fed'!E38,0)</f>
        <v>0</v>
      </c>
      <c r="L12" s="67">
        <f aca="true" t="shared" si="3" ref="L12:L18">ROUND(K12+J12,0)</f>
        <v>0</v>
      </c>
      <c r="M12" s="187">
        <f aca="true" t="shared" si="4" ref="M12:M18">ROUND((J12*1.02),0)</f>
        <v>0</v>
      </c>
      <c r="N12" s="156">
        <f>ROUND(M12*'RATES-Fed'!G38,0)</f>
        <v>0</v>
      </c>
      <c r="O12" s="67">
        <f t="shared" si="1"/>
        <v>0</v>
      </c>
      <c r="P12" s="187">
        <f aca="true" t="shared" si="5" ref="P12:P18">ROUND((M12*1.02),0)</f>
        <v>0</v>
      </c>
      <c r="Q12" s="156">
        <f>ROUND(P12*'RATES-Fed'!I38,0)</f>
        <v>0</v>
      </c>
      <c r="R12" s="67">
        <f aca="true" t="shared" si="6" ref="R12:R18">SUM(P12:Q12)</f>
        <v>0</v>
      </c>
      <c r="S12" s="42">
        <f aca="true" t="shared" si="7" ref="S12:S18">SUM(L12+O12+R12)</f>
        <v>0</v>
      </c>
      <c r="T12" s="1"/>
    </row>
    <row r="13" spans="1:20" ht="15.75">
      <c r="A13" s="1"/>
      <c r="B13" s="1" t="s">
        <v>15</v>
      </c>
      <c r="C13" s="3"/>
      <c r="D13" s="140" t="s">
        <v>131</v>
      </c>
      <c r="E13" s="70">
        <v>0</v>
      </c>
      <c r="F13" s="99">
        <f t="shared" si="0"/>
        <v>0</v>
      </c>
      <c r="G13" s="69">
        <v>0</v>
      </c>
      <c r="J13" s="187">
        <f t="shared" si="2"/>
        <v>0</v>
      </c>
      <c r="K13" s="156">
        <f>ROUND(J13*'RATES-Fed'!E38,0)</f>
        <v>0</v>
      </c>
      <c r="L13" s="67">
        <f t="shared" si="3"/>
        <v>0</v>
      </c>
      <c r="M13" s="187">
        <f t="shared" si="4"/>
        <v>0</v>
      </c>
      <c r="N13" s="156">
        <f>ROUND(M13*'RATES-Fed'!G38,0)</f>
        <v>0</v>
      </c>
      <c r="O13" s="67">
        <f t="shared" si="1"/>
        <v>0</v>
      </c>
      <c r="P13" s="187">
        <f t="shared" si="5"/>
        <v>0</v>
      </c>
      <c r="Q13" s="156">
        <f>ROUND(P13*'RATES-Fed'!I38,0)</f>
        <v>0</v>
      </c>
      <c r="R13" s="67">
        <f t="shared" si="6"/>
        <v>0</v>
      </c>
      <c r="S13" s="42">
        <f t="shared" si="7"/>
        <v>0</v>
      </c>
      <c r="T13" s="1"/>
    </row>
    <row r="14" spans="1:19" ht="15.75">
      <c r="A14" s="1"/>
      <c r="B14" s="1"/>
      <c r="C14" s="3"/>
      <c r="D14" s="140" t="str">
        <f>IF(D13="ACAD",("SUMR"),"")</f>
        <v>SUMR</v>
      </c>
      <c r="E14" s="70">
        <v>0</v>
      </c>
      <c r="F14" s="99">
        <f t="shared" si="0"/>
        <v>0</v>
      </c>
      <c r="G14" s="69">
        <f>+G13*0.4375</f>
        <v>0</v>
      </c>
      <c r="J14" s="187">
        <f t="shared" si="2"/>
        <v>0</v>
      </c>
      <c r="K14" s="156">
        <f>ROUND(J14*'RATES-Fed'!E38,0)</f>
        <v>0</v>
      </c>
      <c r="L14" s="67">
        <f t="shared" si="3"/>
        <v>0</v>
      </c>
      <c r="M14" s="187">
        <f t="shared" si="4"/>
        <v>0</v>
      </c>
      <c r="N14" s="156">
        <f>ROUND(M14*'RATES-Fed'!G38,0)</f>
        <v>0</v>
      </c>
      <c r="O14" s="67">
        <f t="shared" si="1"/>
        <v>0</v>
      </c>
      <c r="P14" s="187">
        <f t="shared" si="5"/>
        <v>0</v>
      </c>
      <c r="Q14" s="156">
        <f>ROUND(P14*'RATES-Fed'!I38,0)</f>
        <v>0</v>
      </c>
      <c r="R14" s="67">
        <f t="shared" si="6"/>
        <v>0</v>
      </c>
      <c r="S14" s="42">
        <f t="shared" si="7"/>
        <v>0</v>
      </c>
    </row>
    <row r="15" spans="1:20" ht="15.75">
      <c r="A15" s="1"/>
      <c r="B15" s="1" t="s">
        <v>15</v>
      </c>
      <c r="C15" s="3"/>
      <c r="D15" s="140" t="s">
        <v>131</v>
      </c>
      <c r="E15" s="70">
        <v>0</v>
      </c>
      <c r="F15" s="99">
        <f t="shared" si="0"/>
        <v>0</v>
      </c>
      <c r="G15" s="69">
        <v>0</v>
      </c>
      <c r="J15" s="187">
        <f t="shared" si="2"/>
        <v>0</v>
      </c>
      <c r="K15" s="156">
        <f>ROUND(J15*'RATES-Fed'!E38,0)</f>
        <v>0</v>
      </c>
      <c r="L15" s="67">
        <f t="shared" si="3"/>
        <v>0</v>
      </c>
      <c r="M15" s="187">
        <f t="shared" si="4"/>
        <v>0</v>
      </c>
      <c r="N15" s="156">
        <f>ROUND(M15*'RATES-Fed'!G38,0)</f>
        <v>0</v>
      </c>
      <c r="O15" s="67">
        <f t="shared" si="1"/>
        <v>0</v>
      </c>
      <c r="P15" s="187">
        <f t="shared" si="5"/>
        <v>0</v>
      </c>
      <c r="Q15" s="156">
        <f>ROUND(P15*'RATES-Fed'!I38,0)</f>
        <v>0</v>
      </c>
      <c r="R15" s="67">
        <f t="shared" si="6"/>
        <v>0</v>
      </c>
      <c r="S15" s="42">
        <f t="shared" si="7"/>
        <v>0</v>
      </c>
      <c r="T15" s="1"/>
    </row>
    <row r="16" spans="1:19" ht="15.75">
      <c r="A16" s="1"/>
      <c r="B16" s="1"/>
      <c r="C16" s="3"/>
      <c r="D16" s="140" t="str">
        <f>IF(D15="ACAD",("SUMR"),"")</f>
        <v>SUMR</v>
      </c>
      <c r="E16" s="70">
        <v>0</v>
      </c>
      <c r="F16" s="99">
        <f t="shared" si="0"/>
        <v>0</v>
      </c>
      <c r="G16" s="69">
        <f>+G15*0.4375</f>
        <v>0</v>
      </c>
      <c r="J16" s="187">
        <f t="shared" si="2"/>
        <v>0</v>
      </c>
      <c r="K16" s="156">
        <f>ROUND(J16*'RATES-Fed'!E38,0)</f>
        <v>0</v>
      </c>
      <c r="L16" s="67">
        <f t="shared" si="3"/>
        <v>0</v>
      </c>
      <c r="M16" s="187">
        <f t="shared" si="4"/>
        <v>0</v>
      </c>
      <c r="N16" s="156">
        <f>ROUND(M16*'RATES-Fed'!G38,0)</f>
        <v>0</v>
      </c>
      <c r="O16" s="67">
        <f t="shared" si="1"/>
        <v>0</v>
      </c>
      <c r="P16" s="187">
        <f t="shared" si="5"/>
        <v>0</v>
      </c>
      <c r="Q16" s="156">
        <f>ROUND(P16*'RATES-Fed'!I38,0)</f>
        <v>0</v>
      </c>
      <c r="R16" s="67">
        <f t="shared" si="6"/>
        <v>0</v>
      </c>
      <c r="S16" s="42">
        <f t="shared" si="7"/>
        <v>0</v>
      </c>
    </row>
    <row r="17" spans="1:20" ht="15.75">
      <c r="A17" s="1"/>
      <c r="B17" s="1" t="s">
        <v>15</v>
      </c>
      <c r="C17" s="3"/>
      <c r="D17" s="140" t="s">
        <v>130</v>
      </c>
      <c r="E17" s="70">
        <v>0</v>
      </c>
      <c r="F17" s="99">
        <f t="shared" si="0"/>
        <v>0</v>
      </c>
      <c r="G17" s="69">
        <v>0</v>
      </c>
      <c r="J17" s="187">
        <f t="shared" si="2"/>
        <v>0</v>
      </c>
      <c r="K17" s="156">
        <f>ROUND(J17*'RATES-Fed'!E38,0)</f>
        <v>0</v>
      </c>
      <c r="L17" s="67">
        <f t="shared" si="3"/>
        <v>0</v>
      </c>
      <c r="M17" s="187">
        <f t="shared" si="4"/>
        <v>0</v>
      </c>
      <c r="N17" s="156">
        <f>ROUND(M17*'RATES-Fed'!G38,0)</f>
        <v>0</v>
      </c>
      <c r="O17" s="67">
        <f t="shared" si="1"/>
        <v>0</v>
      </c>
      <c r="P17" s="187">
        <f t="shared" si="5"/>
        <v>0</v>
      </c>
      <c r="Q17" s="156">
        <f>ROUND(P17*'RATES-Fed'!I38,0)</f>
        <v>0</v>
      </c>
      <c r="R17" s="67">
        <f t="shared" si="6"/>
        <v>0</v>
      </c>
      <c r="S17" s="42">
        <f t="shared" si="7"/>
        <v>0</v>
      </c>
      <c r="T17" s="1"/>
    </row>
    <row r="18" spans="1:19" ht="15.75">
      <c r="A18" s="1"/>
      <c r="B18" s="1" t="s">
        <v>15</v>
      </c>
      <c r="C18" s="3"/>
      <c r="D18" s="140" t="s">
        <v>130</v>
      </c>
      <c r="E18" s="70">
        <v>0</v>
      </c>
      <c r="F18" s="99">
        <f t="shared" si="0"/>
        <v>0</v>
      </c>
      <c r="G18" s="69">
        <v>0</v>
      </c>
      <c r="J18" s="201">
        <f t="shared" si="2"/>
        <v>0</v>
      </c>
      <c r="K18" s="206">
        <f>ROUND(J18*'RATES-Fed'!E38,0)</f>
        <v>0</v>
      </c>
      <c r="L18" s="207">
        <f t="shared" si="3"/>
        <v>0</v>
      </c>
      <c r="M18" s="201">
        <f t="shared" si="4"/>
        <v>0</v>
      </c>
      <c r="N18" s="206">
        <f>ROUND(M18*'RATES-Fed'!G38,0)</f>
        <v>0</v>
      </c>
      <c r="O18" s="207">
        <f t="shared" si="1"/>
        <v>0</v>
      </c>
      <c r="P18" s="201">
        <f t="shared" si="5"/>
        <v>0</v>
      </c>
      <c r="Q18" s="206">
        <f>ROUND(P18*'RATES-Fed'!I38,0)</f>
        <v>0</v>
      </c>
      <c r="R18" s="207">
        <f t="shared" si="6"/>
        <v>0</v>
      </c>
      <c r="S18" s="204">
        <f t="shared" si="7"/>
        <v>0</v>
      </c>
    </row>
    <row r="19" spans="1:20" ht="15.75">
      <c r="A19" s="1"/>
      <c r="B19" s="1"/>
      <c r="C19" s="1"/>
      <c r="D19" s="25" t="s">
        <v>16</v>
      </c>
      <c r="E19" s="26"/>
      <c r="F19" s="26"/>
      <c r="G19" s="1"/>
      <c r="H19" s="1"/>
      <c r="I19" s="1"/>
      <c r="J19" s="205">
        <f aca="true" t="shared" si="8" ref="J19:R19">SUM(J11:J18)</f>
        <v>0</v>
      </c>
      <c r="K19" s="157">
        <f t="shared" si="8"/>
        <v>0</v>
      </c>
      <c r="L19" s="46">
        <f t="shared" si="8"/>
        <v>0</v>
      </c>
      <c r="M19" s="205">
        <f t="shared" si="8"/>
        <v>0</v>
      </c>
      <c r="N19" s="157">
        <f t="shared" si="8"/>
        <v>0</v>
      </c>
      <c r="O19" s="46">
        <f t="shared" si="8"/>
        <v>0</v>
      </c>
      <c r="P19" s="205">
        <f t="shared" si="8"/>
        <v>0</v>
      </c>
      <c r="Q19" s="157">
        <f t="shared" si="8"/>
        <v>0</v>
      </c>
      <c r="R19" s="46">
        <f t="shared" si="8"/>
        <v>0</v>
      </c>
      <c r="S19" s="42">
        <f>SUM(S11:S18)</f>
        <v>0</v>
      </c>
      <c r="T19" s="6"/>
    </row>
    <row r="20" spans="1:18" ht="15.75">
      <c r="A20" s="21" t="s">
        <v>274</v>
      </c>
      <c r="B20" s="21" t="s">
        <v>275</v>
      </c>
      <c r="C20" s="1"/>
      <c r="D20" s="25"/>
      <c r="E20" s="26"/>
      <c r="F20" s="26"/>
      <c r="G20" s="1"/>
      <c r="H20" s="1"/>
      <c r="I20" s="1"/>
      <c r="J20" s="205"/>
      <c r="K20" s="157"/>
      <c r="L20" s="46"/>
      <c r="M20" s="42"/>
      <c r="N20" s="6"/>
      <c r="O20"/>
      <c r="Q20"/>
      <c r="R20"/>
    </row>
    <row r="21" spans="1:19" ht="15.75">
      <c r="A21" s="1"/>
      <c r="B21" s="1" t="s">
        <v>15</v>
      </c>
      <c r="C21" s="3"/>
      <c r="D21" s="140" t="s">
        <v>130</v>
      </c>
      <c r="E21" s="70">
        <v>0</v>
      </c>
      <c r="F21" s="99">
        <f>IF(D21="CAL",(52*E21/4.3333),(IF(D21="ACAD",(32*E21/4.33333),IF(D21="SUMR",(14*E21/4.33333),IF(D21="PT",(0),0)))))</f>
        <v>0</v>
      </c>
      <c r="G21" s="69">
        <v>0</v>
      </c>
      <c r="J21" s="187">
        <f>ROUND(G21*E21,0)</f>
        <v>0</v>
      </c>
      <c r="K21" s="156">
        <f>ROUND(J21*'RATES-Fed'!E40,0)</f>
        <v>0</v>
      </c>
      <c r="L21" s="67">
        <f>ROUND(K21+J21,0)</f>
        <v>0</v>
      </c>
      <c r="M21" s="187">
        <f>ROUND((J21*1.02),0)</f>
        <v>0</v>
      </c>
      <c r="N21" s="156">
        <f>ROUND(M21*'RATES-Fed'!G40,0)</f>
        <v>0</v>
      </c>
      <c r="O21" s="67">
        <f>ROUND(M21+N21,0)</f>
        <v>0</v>
      </c>
      <c r="P21" s="187">
        <f>ROUND((M21*1.02),0)</f>
        <v>0</v>
      </c>
      <c r="Q21" s="156">
        <f>ROUND(P21*'RATES-Fed'!I40,0)</f>
        <v>0</v>
      </c>
      <c r="R21" s="67">
        <f>ROUND(P21+Q21,0)</f>
        <v>0</v>
      </c>
      <c r="S21" s="42">
        <f>SUM(L21+O21+R21)</f>
        <v>0</v>
      </c>
    </row>
    <row r="22" spans="1:19" ht="15.75">
      <c r="A22" s="1"/>
      <c r="B22" s="1" t="s">
        <v>15</v>
      </c>
      <c r="C22" s="3"/>
      <c r="D22" s="140" t="s">
        <v>130</v>
      </c>
      <c r="E22" s="70">
        <v>0</v>
      </c>
      <c r="F22" s="99">
        <f>IF(D22="CAL",(52*E22/4.3333),(IF(D22="ACAD",(32*E22/4.33333),IF(D22="SUMR",(14*E22/4.33333),IF(D22="PT",(0),0)))))</f>
        <v>0</v>
      </c>
      <c r="G22" s="69">
        <v>0</v>
      </c>
      <c r="J22" s="187">
        <f>ROUND(G22*E22,0)</f>
        <v>0</v>
      </c>
      <c r="K22" s="156">
        <f>ROUND(J22*'RATES-Fed'!E40,0)</f>
        <v>0</v>
      </c>
      <c r="L22" s="67">
        <f>ROUND(K22+J22,0)</f>
        <v>0</v>
      </c>
      <c r="M22" s="187">
        <f>ROUND((J22*1.02),0)</f>
        <v>0</v>
      </c>
      <c r="N22" s="156">
        <f>ROUND(M22*'RATES-Fed'!G40,0)</f>
        <v>0</v>
      </c>
      <c r="O22" s="67">
        <f>ROUND(M22+N22,0)</f>
        <v>0</v>
      </c>
      <c r="P22" s="187">
        <f>ROUND((M22*1.02),0)</f>
        <v>0</v>
      </c>
      <c r="Q22" s="156">
        <f>ROUND(P22*'RATES-Fed'!I40,0)</f>
        <v>0</v>
      </c>
      <c r="R22" s="67">
        <f>ROUND(P22+Q22,0)</f>
        <v>0</v>
      </c>
      <c r="S22" s="42">
        <f>SUM(L22+O22+R22)</f>
        <v>0</v>
      </c>
    </row>
    <row r="23" spans="1:19" ht="15.75">
      <c r="A23" s="1"/>
      <c r="B23" s="1" t="s">
        <v>15</v>
      </c>
      <c r="C23" s="3"/>
      <c r="D23" s="140" t="s">
        <v>130</v>
      </c>
      <c r="E23" s="70">
        <v>0</v>
      </c>
      <c r="F23" s="99">
        <f>IF(D23="CAL",(52*E23/4.3333),(IF(D23="ACAD",(32*E23/4.33333),IF(D23="SUMR",(14*E23/4.33333),IF(D23="PT",(0),0)))))</f>
        <v>0</v>
      </c>
      <c r="G23" s="69">
        <v>0</v>
      </c>
      <c r="J23" s="187">
        <f>ROUND(G23*E23,0)</f>
        <v>0</v>
      </c>
      <c r="K23" s="156">
        <f>ROUND(J23*'RATES-Fed'!E40,0)</f>
        <v>0</v>
      </c>
      <c r="L23" s="67">
        <f>ROUND(K23+J23,0)</f>
        <v>0</v>
      </c>
      <c r="M23" s="187">
        <f>ROUND((J23*1.02),0)</f>
        <v>0</v>
      </c>
      <c r="N23" s="156">
        <f>ROUND(M23*'RATES-Fed'!G40,0)</f>
        <v>0</v>
      </c>
      <c r="O23" s="67">
        <f>ROUND(M23+N23,0)</f>
        <v>0</v>
      </c>
      <c r="P23" s="187">
        <f>ROUND((M23*1.02),0)</f>
        <v>0</v>
      </c>
      <c r="Q23" s="156">
        <f>ROUND(P23*'RATES-Fed'!I40,0)</f>
        <v>0</v>
      </c>
      <c r="R23" s="67">
        <f>ROUND(P23+Q23,0)</f>
        <v>0</v>
      </c>
      <c r="S23" s="42">
        <f>SUM(L23+O23+R23)</f>
        <v>0</v>
      </c>
    </row>
    <row r="24" spans="1:19" ht="15.75">
      <c r="A24" s="1"/>
      <c r="B24" s="1" t="s">
        <v>15</v>
      </c>
      <c r="C24" s="3"/>
      <c r="D24" s="140" t="s">
        <v>130</v>
      </c>
      <c r="E24" s="70">
        <v>0</v>
      </c>
      <c r="F24" s="99">
        <f>IF(D24="CAL",(52*E24/4.3333),(IF(D24="ACAD",(32*E24/4.33333),IF(D24="SUMR",(14*E24/4.33333),IF(D24="PT",(0),0)))))</f>
        <v>0</v>
      </c>
      <c r="G24" s="69">
        <v>0</v>
      </c>
      <c r="J24" s="187">
        <f>ROUND(G24*E24,0)</f>
        <v>0</v>
      </c>
      <c r="K24" s="206">
        <f>ROUND(J24*'RATES-Fed'!E40,0)</f>
        <v>0</v>
      </c>
      <c r="L24" s="207">
        <f>ROUND(K24+J24,0)</f>
        <v>0</v>
      </c>
      <c r="M24" s="201">
        <f>ROUND((J24*1.02),0)</f>
        <v>0</v>
      </c>
      <c r="N24" s="206">
        <f>ROUND(M24*'RATES-Fed'!G40,0)</f>
        <v>0</v>
      </c>
      <c r="O24" s="207">
        <f>ROUND(M24+N24,0)</f>
        <v>0</v>
      </c>
      <c r="P24" s="201">
        <f>ROUND((M24*1.02),0)</f>
        <v>0</v>
      </c>
      <c r="Q24" s="206">
        <f>ROUND(P24*'RATES-Fed'!I40,0)</f>
        <v>0</v>
      </c>
      <c r="R24" s="207">
        <f>ROUND(P24+Q24,0)</f>
        <v>0</v>
      </c>
      <c r="S24" s="204">
        <f>SUM(L24+O24+R24)</f>
        <v>0</v>
      </c>
    </row>
    <row r="25" spans="1:19" ht="15.75">
      <c r="A25" s="1"/>
      <c r="B25" s="1"/>
      <c r="C25" s="1"/>
      <c r="D25" s="25" t="s">
        <v>279</v>
      </c>
      <c r="E25" s="26"/>
      <c r="F25" s="26"/>
      <c r="G25" s="1"/>
      <c r="H25" s="1"/>
      <c r="I25" s="1"/>
      <c r="J25" s="191">
        <f aca="true" t="shared" si="9" ref="J25:S25">SUM(J21:J24)</f>
        <v>0</v>
      </c>
      <c r="K25" s="157">
        <f t="shared" si="9"/>
        <v>0</v>
      </c>
      <c r="L25" s="46">
        <f t="shared" si="9"/>
        <v>0</v>
      </c>
      <c r="M25" s="76">
        <f t="shared" si="9"/>
        <v>0</v>
      </c>
      <c r="N25" s="6">
        <f t="shared" si="9"/>
        <v>0</v>
      </c>
      <c r="O25" s="76">
        <f t="shared" si="9"/>
        <v>0</v>
      </c>
      <c r="P25" s="42">
        <f t="shared" si="9"/>
        <v>0</v>
      </c>
      <c r="Q25" s="42">
        <f t="shared" si="9"/>
        <v>0</v>
      </c>
      <c r="R25" s="76">
        <f t="shared" si="9"/>
        <v>0</v>
      </c>
      <c r="S25" s="42">
        <f t="shared" si="9"/>
        <v>0</v>
      </c>
    </row>
    <row r="26" spans="1:20" ht="7.5" customHeight="1">
      <c r="A26" s="1"/>
      <c r="B26" s="1"/>
      <c r="C26" s="1"/>
      <c r="D26" s="26"/>
      <c r="E26" s="26"/>
      <c r="F26" s="26"/>
      <c r="G26" s="1"/>
      <c r="H26" s="1"/>
      <c r="I26" s="1"/>
      <c r="J26" s="192"/>
      <c r="K26" s="157"/>
      <c r="L26" s="46"/>
      <c r="M26" s="186"/>
      <c r="N26" s="157"/>
      <c r="O26" s="46"/>
      <c r="P26" s="186"/>
      <c r="Q26" s="157"/>
      <c r="R26" s="46"/>
      <c r="S26" s="42"/>
      <c r="T26" s="6"/>
    </row>
    <row r="27" spans="1:20" ht="15.75">
      <c r="A27" s="22" t="s">
        <v>276</v>
      </c>
      <c r="B27" s="22" t="s">
        <v>17</v>
      </c>
      <c r="C27" s="1"/>
      <c r="D27" s="26"/>
      <c r="E27" s="1"/>
      <c r="F27" s="1"/>
      <c r="G27" s="41"/>
      <c r="H27" s="1"/>
      <c r="I27" s="1"/>
      <c r="J27" s="190"/>
      <c r="K27" s="153"/>
      <c r="L27" s="143"/>
      <c r="M27" s="190"/>
      <c r="N27" s="157"/>
      <c r="O27" s="46"/>
      <c r="P27" s="190"/>
      <c r="Q27" s="157"/>
      <c r="R27" s="46"/>
      <c r="S27" s="42"/>
      <c r="T27" s="6"/>
    </row>
    <row r="28" spans="1:20" ht="15.75">
      <c r="A28" s="1"/>
      <c r="C28" s="13" t="s">
        <v>88</v>
      </c>
      <c r="D28" s="41" t="s">
        <v>127</v>
      </c>
      <c r="E28" s="68"/>
      <c r="F28" s="68"/>
      <c r="G28" s="59"/>
      <c r="J28" s="187"/>
      <c r="K28" s="158"/>
      <c r="L28" s="50"/>
      <c r="M28" s="187"/>
      <c r="N28" s="168"/>
      <c r="O28" s="148"/>
      <c r="P28" s="187"/>
      <c r="Q28" s="168"/>
      <c r="R28" s="148"/>
      <c r="S28" s="42"/>
      <c r="T28" s="5"/>
    </row>
    <row r="29" spans="1:20" ht="15.75">
      <c r="A29" s="1"/>
      <c r="C29" s="13"/>
      <c r="D29" s="97"/>
      <c r="E29" s="70">
        <v>0</v>
      </c>
      <c r="F29" s="98">
        <f>SUM(52*E29/4.33)</f>
        <v>0</v>
      </c>
      <c r="G29" s="69">
        <v>0</v>
      </c>
      <c r="J29" s="187">
        <f>ROUND(G29*E29,0)</f>
        <v>0</v>
      </c>
      <c r="K29" s="158">
        <f>ROUND(J29*'RATES-Fed'!E39,0)</f>
        <v>0</v>
      </c>
      <c r="L29" s="50">
        <f>SUM(J29:K29)</f>
        <v>0</v>
      </c>
      <c r="M29" s="187">
        <f>ROUND(J29*1.02,0)</f>
        <v>0</v>
      </c>
      <c r="N29" s="158">
        <f>ROUND(M29*'RATES-Fed'!G39,0)</f>
        <v>0</v>
      </c>
      <c r="O29" s="50">
        <f>SUM(M29:N29)</f>
        <v>0</v>
      </c>
      <c r="P29" s="187">
        <f>ROUND(M29*1.02,0)</f>
        <v>0</v>
      </c>
      <c r="Q29" s="158">
        <f>ROUND(P29*'RATES-Fed'!I39,0)</f>
        <v>0</v>
      </c>
      <c r="R29" s="50">
        <f>SUM(P29:Q29)</f>
        <v>0</v>
      </c>
      <c r="S29" s="42">
        <f>SUM(L29+O29+R29)</f>
        <v>0</v>
      </c>
      <c r="T29" s="5"/>
    </row>
    <row r="30" spans="1:20" ht="15.75">
      <c r="A30" s="1"/>
      <c r="C30" s="13"/>
      <c r="D30" s="1"/>
      <c r="E30" s="70">
        <v>0</v>
      </c>
      <c r="F30" s="98">
        <f>SUM(52*E30/4.33)</f>
        <v>0</v>
      </c>
      <c r="G30" s="69">
        <v>0</v>
      </c>
      <c r="J30" s="187">
        <f>ROUND(G30*E30,0)</f>
        <v>0</v>
      </c>
      <c r="K30" s="158">
        <f>ROUND(J30*'RATES-Fed'!E39,0)</f>
        <v>0</v>
      </c>
      <c r="L30" s="50">
        <f>SUM(J30:K30)</f>
        <v>0</v>
      </c>
      <c r="M30" s="187">
        <f>ROUND(J30*1.02,0)</f>
        <v>0</v>
      </c>
      <c r="N30" s="158">
        <f>ROUND(M30*'RATES-Fed'!G39,0)</f>
        <v>0</v>
      </c>
      <c r="O30" s="50">
        <f>SUM(M30:N30)</f>
        <v>0</v>
      </c>
      <c r="P30" s="187">
        <f>ROUND(M30*1.02,0)</f>
        <v>0</v>
      </c>
      <c r="Q30" s="158">
        <f>ROUND(P30*'RATES-Fed'!I39,0)</f>
        <v>0</v>
      </c>
      <c r="R30" s="50">
        <f>SUM(P30:Q30)</f>
        <v>0</v>
      </c>
      <c r="S30" s="42">
        <f>SUM(L30+O30+R30)</f>
        <v>0</v>
      </c>
      <c r="T30" s="5"/>
    </row>
    <row r="31" spans="1:20" ht="15.75">
      <c r="A31" s="1"/>
      <c r="C31" s="13"/>
      <c r="D31" s="1"/>
      <c r="E31" s="70">
        <v>0</v>
      </c>
      <c r="F31" s="98">
        <f>SUM(52*E31/4.33)</f>
        <v>0</v>
      </c>
      <c r="G31" s="69">
        <v>0</v>
      </c>
      <c r="J31" s="201">
        <f>ROUND(G31*E31,0)</f>
        <v>0</v>
      </c>
      <c r="K31" s="202">
        <f>ROUND(J31*'RATES-Fed'!E39,0)</f>
        <v>0</v>
      </c>
      <c r="L31" s="203">
        <f>SUM(J31:K31)</f>
        <v>0</v>
      </c>
      <c r="M31" s="201">
        <f>ROUND(J31*1.02,0)</f>
        <v>0</v>
      </c>
      <c r="N31" s="202">
        <f>ROUND(M31*'RATES-Fed'!G39,0)</f>
        <v>0</v>
      </c>
      <c r="O31" s="203">
        <f>SUM(M31:N31)</f>
        <v>0</v>
      </c>
      <c r="P31" s="201">
        <f>ROUND(M31*1.02,0)</f>
        <v>0</v>
      </c>
      <c r="Q31" s="202">
        <f>ROUND(P31*'RATES-Fed'!I39,0)</f>
        <v>0</v>
      </c>
      <c r="R31" s="203">
        <f>SUM(P31:Q31)</f>
        <v>0</v>
      </c>
      <c r="S31" s="204">
        <f>SUM(L31+O31+R31)</f>
        <v>0</v>
      </c>
      <c r="T31" s="5"/>
    </row>
    <row r="32" spans="1:20" ht="15.75">
      <c r="A32" s="1"/>
      <c r="C32" s="13"/>
      <c r="D32" s="1" t="s">
        <v>128</v>
      </c>
      <c r="E32" s="70"/>
      <c r="F32" s="70"/>
      <c r="G32" s="69"/>
      <c r="J32" s="193">
        <f aca="true" t="shared" si="10" ref="J32:S32">SUM(J29:J31)</f>
        <v>0</v>
      </c>
      <c r="K32" s="158">
        <f t="shared" si="10"/>
        <v>0</v>
      </c>
      <c r="L32" s="50">
        <f t="shared" si="10"/>
        <v>0</v>
      </c>
      <c r="M32" s="193">
        <f t="shared" si="10"/>
        <v>0</v>
      </c>
      <c r="N32" s="168">
        <f t="shared" si="10"/>
        <v>0</v>
      </c>
      <c r="O32" s="148">
        <f t="shared" si="10"/>
        <v>0</v>
      </c>
      <c r="P32" s="193">
        <f t="shared" si="10"/>
        <v>0</v>
      </c>
      <c r="Q32" s="168">
        <f t="shared" si="10"/>
        <v>0</v>
      </c>
      <c r="R32" s="148">
        <f t="shared" si="10"/>
        <v>0</v>
      </c>
      <c r="S32" s="42">
        <f t="shared" si="10"/>
        <v>0</v>
      </c>
      <c r="T32" s="5"/>
    </row>
    <row r="33" spans="1:20" ht="9.75" customHeight="1">
      <c r="A33" s="1"/>
      <c r="C33" s="13"/>
      <c r="D33" s="1"/>
      <c r="E33" s="70"/>
      <c r="F33" s="70"/>
      <c r="G33" s="69"/>
      <c r="J33" s="193"/>
      <c r="K33" s="158"/>
      <c r="L33" s="50"/>
      <c r="M33" s="193"/>
      <c r="N33" s="168"/>
      <c r="O33" s="148"/>
      <c r="P33" s="193"/>
      <c r="Q33" s="168"/>
      <c r="R33" s="148"/>
      <c r="S33" s="42"/>
      <c r="T33" s="5"/>
    </row>
    <row r="34" spans="1:20" ht="15.75">
      <c r="A34" s="1"/>
      <c r="C34" s="13" t="s">
        <v>89</v>
      </c>
      <c r="D34" s="1"/>
      <c r="E34" s="70">
        <v>0</v>
      </c>
      <c r="F34" s="98">
        <f>SUM(52*E34/4.33)</f>
        <v>0</v>
      </c>
      <c r="G34" s="69">
        <v>0</v>
      </c>
      <c r="J34" s="187">
        <f>ROUND(G34*E34,0)</f>
        <v>0</v>
      </c>
      <c r="K34" s="158">
        <f>ROUND(J34*'RATES-Fed'!E43,0)</f>
        <v>0</v>
      </c>
      <c r="L34" s="50">
        <f>SUM(J34:K34)</f>
        <v>0</v>
      </c>
      <c r="M34" s="187">
        <f>ROUND((J34*1.02),0)</f>
        <v>0</v>
      </c>
      <c r="N34" s="158">
        <f>ROUND(M34*'RATES-Fed'!G43,0)</f>
        <v>0</v>
      </c>
      <c r="O34" s="50">
        <f>SUM(M34:N34)</f>
        <v>0</v>
      </c>
      <c r="P34" s="187">
        <f>ROUND((M34*1.02),0)</f>
        <v>0</v>
      </c>
      <c r="Q34" s="158">
        <f>ROUND(P34*'RATES-Fed'!I43,0)</f>
        <v>0</v>
      </c>
      <c r="R34" s="50">
        <f>SUM(P34:Q34)</f>
        <v>0</v>
      </c>
      <c r="S34" s="42">
        <f>SUM(L34+O34+R34)</f>
        <v>0</v>
      </c>
      <c r="T34" s="5"/>
    </row>
    <row r="35" spans="1:20" ht="15.75">
      <c r="A35" s="1"/>
      <c r="C35" s="13" t="s">
        <v>18</v>
      </c>
      <c r="D35" s="1"/>
      <c r="E35" s="70">
        <v>0</v>
      </c>
      <c r="F35" s="98">
        <f>SUM(52*E35/4.33)</f>
        <v>0</v>
      </c>
      <c r="G35" s="69">
        <v>0</v>
      </c>
      <c r="J35" s="187">
        <f>ROUND(G35*E35,0)</f>
        <v>0</v>
      </c>
      <c r="K35" s="158">
        <f>ROUND(J35*'RATES-Fed'!E42,0)</f>
        <v>0</v>
      </c>
      <c r="L35" s="50">
        <f>SUM(J35:K35)</f>
        <v>0</v>
      </c>
      <c r="M35" s="187">
        <f>ROUND((J35*1.02),0)</f>
        <v>0</v>
      </c>
      <c r="N35" s="158">
        <f>ROUND(M35*'RATES-Fed'!G42,0)</f>
        <v>0</v>
      </c>
      <c r="O35" s="50">
        <f>SUM(M35:N35)</f>
        <v>0</v>
      </c>
      <c r="P35" s="187">
        <f>ROUND((M35*1.02),0)</f>
        <v>0</v>
      </c>
      <c r="Q35" s="158">
        <f>ROUND(P35*'RATES-Fed'!I42,0)</f>
        <v>0</v>
      </c>
      <c r="R35" s="50">
        <f>SUM(P35:Q35)</f>
        <v>0</v>
      </c>
      <c r="S35" s="42">
        <f>SUM(L35+O35+R35)</f>
        <v>0</v>
      </c>
      <c r="T35" s="5"/>
    </row>
    <row r="36" spans="1:20" ht="15.75">
      <c r="A36" s="1"/>
      <c r="C36" s="13" t="s">
        <v>19</v>
      </c>
      <c r="D36" s="1"/>
      <c r="E36" s="70">
        <v>0</v>
      </c>
      <c r="F36" s="98">
        <f>SUM(52*E36/4.33)</f>
        <v>0</v>
      </c>
      <c r="G36" s="69">
        <v>0</v>
      </c>
      <c r="J36" s="187">
        <f>ROUND(G36*E36,0)</f>
        <v>0</v>
      </c>
      <c r="K36" s="158">
        <f>ROUND(J36*'RATES-Fed'!E42,0)</f>
        <v>0</v>
      </c>
      <c r="L36" s="50">
        <f>SUM(J36:K36)</f>
        <v>0</v>
      </c>
      <c r="M36" s="187">
        <f>ROUND((J36*1.02),0)</f>
        <v>0</v>
      </c>
      <c r="N36" s="158">
        <f>ROUND(M36*'RATES-Fed'!G42,0)</f>
        <v>0</v>
      </c>
      <c r="O36" s="50">
        <f>SUM(M36:N36)</f>
        <v>0</v>
      </c>
      <c r="P36" s="187">
        <f>ROUND((M36*1.02),0)</f>
        <v>0</v>
      </c>
      <c r="Q36" s="158">
        <f>ROUND(P36*'RATES-Fed'!I42,0)</f>
        <v>0</v>
      </c>
      <c r="R36" s="50">
        <f>SUM(P36:Q36)</f>
        <v>0</v>
      </c>
      <c r="S36" s="42">
        <f>SUM(L36+O36+R36)</f>
        <v>0</v>
      </c>
      <c r="T36" s="5"/>
    </row>
    <row r="37" spans="1:20" s="94" customFormat="1" ht="15.75">
      <c r="A37" s="143"/>
      <c r="C37" s="142" t="s">
        <v>20</v>
      </c>
      <c r="D37" s="143"/>
      <c r="E37" s="70">
        <v>0</v>
      </c>
      <c r="F37" s="98">
        <f>SUM(52*E37/4.33)</f>
        <v>0</v>
      </c>
      <c r="G37" s="69">
        <v>0</v>
      </c>
      <c r="J37" s="187">
        <f>ROUND(G37*E37,0)</f>
        <v>0</v>
      </c>
      <c r="K37" s="158">
        <f>ROUND(J37*'RATES-Fed'!E43,0)</f>
        <v>0</v>
      </c>
      <c r="L37" s="50">
        <f>SUM(J37:K37)</f>
        <v>0</v>
      </c>
      <c r="M37" s="187">
        <f>ROUND((J37*1.02),0)</f>
        <v>0</v>
      </c>
      <c r="N37" s="158">
        <f>ROUND(M37*'RATES-Fed'!G43,0)</f>
        <v>0</v>
      </c>
      <c r="O37" s="50">
        <f>SUM(M37:N37)</f>
        <v>0</v>
      </c>
      <c r="P37" s="187">
        <f>ROUND((M37*1.02),0)</f>
        <v>0</v>
      </c>
      <c r="Q37" s="158">
        <f>ROUND(P37*'RATES-Fed'!I43,0)</f>
        <v>0</v>
      </c>
      <c r="R37" s="50">
        <f>SUM(P37:Q37)</f>
        <v>0</v>
      </c>
      <c r="S37" s="42">
        <f>SUM(L37+O37+R37)</f>
        <v>0</v>
      </c>
      <c r="T37" s="150"/>
    </row>
    <row r="38" spans="1:20" s="94" customFormat="1" ht="15.75">
      <c r="A38" s="143"/>
      <c r="C38" s="142" t="s">
        <v>90</v>
      </c>
      <c r="D38" s="143"/>
      <c r="E38" s="70">
        <v>0</v>
      </c>
      <c r="F38" s="98">
        <f>SUM(52*E38/4.33)</f>
        <v>0</v>
      </c>
      <c r="G38" s="69">
        <v>0</v>
      </c>
      <c r="J38" s="201">
        <f>ROUND(G38*E38,0)</f>
        <v>0</v>
      </c>
      <c r="K38" s="202">
        <f>ROUND(J38*'RATES-Fed'!E41,0)</f>
        <v>0</v>
      </c>
      <c r="L38" s="203">
        <f>SUM(J38:K38)</f>
        <v>0</v>
      </c>
      <c r="M38" s="201">
        <f>ROUND((J38*1.02),0)</f>
        <v>0</v>
      </c>
      <c r="N38" s="209">
        <f>ROUND(M38*'RATES-Fed'!G41,0)</f>
        <v>0</v>
      </c>
      <c r="O38" s="203">
        <f>SUM(M38:N38)</f>
        <v>0</v>
      </c>
      <c r="P38" s="201">
        <f>ROUND((M38*1.02),0)</f>
        <v>0</v>
      </c>
      <c r="Q38" s="209">
        <f>ROUND(P38*'RATES-Fed'!I41,0)</f>
        <v>0</v>
      </c>
      <c r="R38" s="203">
        <f>SUM(P38:Q38)</f>
        <v>0</v>
      </c>
      <c r="S38" s="204">
        <f>SUM(L38+O38+R38)</f>
        <v>0</v>
      </c>
      <c r="T38" s="150"/>
    </row>
    <row r="39" spans="1:20" ht="15.75">
      <c r="A39" s="1"/>
      <c r="B39" s="1"/>
      <c r="C39" s="1"/>
      <c r="D39" s="188" t="s">
        <v>213</v>
      </c>
      <c r="E39" s="26"/>
      <c r="F39" s="26"/>
      <c r="G39" s="1"/>
      <c r="H39" s="1"/>
      <c r="I39" s="1"/>
      <c r="J39" s="208">
        <f aca="true" t="shared" si="11" ref="J39:R39">SUM(J19+J25+J32+J34+J35+J36+J37+J38)</f>
        <v>0</v>
      </c>
      <c r="K39" s="158">
        <f t="shared" si="11"/>
        <v>0</v>
      </c>
      <c r="L39" s="50">
        <f t="shared" si="11"/>
        <v>0</v>
      </c>
      <c r="M39" s="208">
        <f t="shared" si="11"/>
        <v>0</v>
      </c>
      <c r="N39" s="158">
        <f t="shared" si="11"/>
        <v>0</v>
      </c>
      <c r="O39" s="50">
        <f t="shared" si="11"/>
        <v>0</v>
      </c>
      <c r="P39" s="208">
        <f t="shared" si="11"/>
        <v>0</v>
      </c>
      <c r="Q39" s="158">
        <f t="shared" si="11"/>
        <v>0</v>
      </c>
      <c r="R39" s="50">
        <f t="shared" si="11"/>
        <v>0</v>
      </c>
      <c r="S39" s="42">
        <f>SUM(S34:S38)</f>
        <v>0</v>
      </c>
      <c r="T39" s="5"/>
    </row>
    <row r="40" spans="1:20" ht="7.5" customHeight="1">
      <c r="A40" s="1"/>
      <c r="B40" s="1"/>
      <c r="C40" s="1"/>
      <c r="D40" s="26"/>
      <c r="E40" s="26"/>
      <c r="F40" s="26"/>
      <c r="G40" s="26"/>
      <c r="H40" s="26"/>
      <c r="I40" s="26"/>
      <c r="J40" s="52"/>
      <c r="K40" s="157"/>
      <c r="L40" s="176"/>
      <c r="M40" s="64"/>
      <c r="P40" s="64"/>
      <c r="Q40" s="157"/>
      <c r="R40" s="46"/>
      <c r="S40" s="64" t="s">
        <v>1</v>
      </c>
      <c r="T40" s="6"/>
    </row>
    <row r="41" spans="1:20" s="31" customFormat="1" ht="15.75">
      <c r="A41" s="40" t="s">
        <v>23</v>
      </c>
      <c r="B41" s="21"/>
      <c r="D41" s="28"/>
      <c r="E41" s="28"/>
      <c r="F41" s="28"/>
      <c r="G41" s="28"/>
      <c r="H41" s="28"/>
      <c r="I41" s="28"/>
      <c r="J41" s="47">
        <f>SUM(J39+K39)</f>
        <v>0</v>
      </c>
      <c r="K41" s="159"/>
      <c r="L41" s="178"/>
      <c r="M41" s="47">
        <f>SUM(M39+N39)</f>
        <v>0</v>
      </c>
      <c r="N41" s="159"/>
      <c r="O41" s="144"/>
      <c r="P41" s="47">
        <f>SUM(P39+Q39)</f>
        <v>0</v>
      </c>
      <c r="Q41" s="159"/>
      <c r="R41" s="144"/>
      <c r="S41" s="47">
        <f>SUM(J41+M41+P41)</f>
        <v>0</v>
      </c>
      <c r="T41" s="29"/>
    </row>
    <row r="42" spans="1:20" ht="8.25" customHeight="1">
      <c r="A42" s="1"/>
      <c r="B42" s="1"/>
      <c r="C42" s="28"/>
      <c r="D42" s="26"/>
      <c r="E42" s="26"/>
      <c r="F42" s="26"/>
      <c r="G42" s="26"/>
      <c r="H42" s="26"/>
      <c r="I42" s="26"/>
      <c r="J42" s="52"/>
      <c r="K42" s="157"/>
      <c r="L42" s="176"/>
      <c r="M42" s="46"/>
      <c r="N42" s="157"/>
      <c r="O42" s="46"/>
      <c r="P42" s="46"/>
      <c r="Q42" s="157"/>
      <c r="R42" s="46"/>
      <c r="S42" s="46" t="s">
        <v>1</v>
      </c>
      <c r="T42" s="6"/>
    </row>
    <row r="43" spans="1:20" ht="15.75">
      <c r="A43" s="22" t="s">
        <v>24</v>
      </c>
      <c r="B43" s="22" t="s">
        <v>25</v>
      </c>
      <c r="C43" s="21"/>
      <c r="D43" s="26"/>
      <c r="E43" s="26"/>
      <c r="F43" s="26"/>
      <c r="G43" s="26"/>
      <c r="H43" s="26"/>
      <c r="I43" s="26"/>
      <c r="J43" s="52"/>
      <c r="K43" s="157"/>
      <c r="L43" s="176"/>
      <c r="M43" s="50"/>
      <c r="N43" s="157"/>
      <c r="O43" s="46"/>
      <c r="P43" s="50"/>
      <c r="Q43" s="157"/>
      <c r="R43" s="46"/>
      <c r="S43" s="50" t="s">
        <v>1</v>
      </c>
      <c r="T43" s="6"/>
    </row>
    <row r="44" spans="1:20" ht="15.75">
      <c r="A44" s="21"/>
      <c r="B44" s="21"/>
      <c r="C44" s="10" t="s">
        <v>26</v>
      </c>
      <c r="D44" s="30"/>
      <c r="E44" s="30"/>
      <c r="F44" s="30"/>
      <c r="G44" s="30"/>
      <c r="H44" s="30"/>
      <c r="I44" s="30"/>
      <c r="J44" s="42">
        <v>0</v>
      </c>
      <c r="K44" s="157"/>
      <c r="L44" s="176"/>
      <c r="M44" s="42">
        <v>0</v>
      </c>
      <c r="N44" s="158"/>
      <c r="O44" s="50"/>
      <c r="P44" s="42">
        <v>0</v>
      </c>
      <c r="Q44" s="158"/>
      <c r="R44" s="50"/>
      <c r="S44" s="42">
        <f>SUM(J44:R44)</f>
        <v>0</v>
      </c>
      <c r="T44" s="6"/>
    </row>
    <row r="45" spans="1:20" ht="15.75">
      <c r="A45" s="21"/>
      <c r="B45" s="21"/>
      <c r="C45" s="10" t="s">
        <v>26</v>
      </c>
      <c r="D45" s="30"/>
      <c r="E45" s="30"/>
      <c r="F45" s="30"/>
      <c r="G45" s="30"/>
      <c r="H45" s="30"/>
      <c r="I45" s="30"/>
      <c r="J45" s="42">
        <v>0</v>
      </c>
      <c r="K45" s="157"/>
      <c r="L45" s="176"/>
      <c r="M45" s="42">
        <v>0</v>
      </c>
      <c r="N45" s="158"/>
      <c r="O45" s="50"/>
      <c r="P45" s="42">
        <v>0</v>
      </c>
      <c r="Q45" s="158"/>
      <c r="R45" s="50"/>
      <c r="S45" s="42">
        <f>SUM(J45:R45)</f>
        <v>0</v>
      </c>
      <c r="T45" s="6"/>
    </row>
    <row r="46" spans="1:20" ht="15.75">
      <c r="A46" s="21"/>
      <c r="B46" s="21"/>
      <c r="C46" s="27" t="s">
        <v>27</v>
      </c>
      <c r="D46" s="28"/>
      <c r="E46" s="28"/>
      <c r="F46" s="28"/>
      <c r="G46" s="28"/>
      <c r="H46" s="28"/>
      <c r="I46" s="28"/>
      <c r="J46" s="53">
        <f>SUM(J44:J45)</f>
        <v>0</v>
      </c>
      <c r="K46" s="160"/>
      <c r="L46" s="179"/>
      <c r="M46" s="53">
        <f>SUM(M44:M45)</f>
        <v>0</v>
      </c>
      <c r="N46" s="160"/>
      <c r="O46" s="48"/>
      <c r="P46" s="53">
        <f>SUM(P44:P45)</f>
        <v>0</v>
      </c>
      <c r="Q46" s="160"/>
      <c r="R46" s="48"/>
      <c r="S46" s="53">
        <f>SUM(J46:R46)</f>
        <v>0</v>
      </c>
      <c r="T46" s="29"/>
    </row>
    <row r="47" spans="1:20" ht="9" customHeight="1">
      <c r="A47" s="1"/>
      <c r="B47" s="1"/>
      <c r="C47" s="28"/>
      <c r="D47" s="26"/>
      <c r="E47" s="26"/>
      <c r="F47" s="26"/>
      <c r="G47" s="26"/>
      <c r="H47" s="26"/>
      <c r="I47" s="26"/>
      <c r="J47" s="52"/>
      <c r="K47" s="157"/>
      <c r="L47" s="176"/>
      <c r="M47" s="46"/>
      <c r="N47" s="157"/>
      <c r="O47" s="46"/>
      <c r="P47" s="46"/>
      <c r="Q47" s="157"/>
      <c r="R47" s="46"/>
      <c r="S47" s="46"/>
      <c r="T47" s="6"/>
    </row>
    <row r="48" spans="1:20" ht="15.75">
      <c r="A48" s="22" t="s">
        <v>28</v>
      </c>
      <c r="B48" s="22" t="s">
        <v>29</v>
      </c>
      <c r="C48" s="1"/>
      <c r="D48" s="21"/>
      <c r="E48" s="21"/>
      <c r="F48" s="21"/>
      <c r="G48" s="1"/>
      <c r="H48" s="1"/>
      <c r="I48" s="1"/>
      <c r="J48" s="54" t="s">
        <v>1</v>
      </c>
      <c r="K48" s="158"/>
      <c r="L48" s="177"/>
      <c r="M48" s="45" t="s">
        <v>1</v>
      </c>
      <c r="N48" s="158"/>
      <c r="O48" s="50"/>
      <c r="P48" s="45" t="s">
        <v>1</v>
      </c>
      <c r="Q48" s="158"/>
      <c r="R48" s="50"/>
      <c r="S48" s="45"/>
      <c r="T48" s="5"/>
    </row>
    <row r="49" spans="1:20" ht="15.75">
      <c r="A49" s="21"/>
      <c r="B49" s="21"/>
      <c r="C49" s="13" t="s">
        <v>30</v>
      </c>
      <c r="D49" s="10" t="s">
        <v>26</v>
      </c>
      <c r="E49" s="31"/>
      <c r="F49" s="31"/>
      <c r="J49" s="42">
        <v>0</v>
      </c>
      <c r="K49" s="158"/>
      <c r="L49" s="177"/>
      <c r="M49" s="42">
        <f>ROUND((J49*1.02),0)</f>
        <v>0</v>
      </c>
      <c r="N49" s="168"/>
      <c r="O49" s="148"/>
      <c r="P49" s="42">
        <f>ROUND((M49*1.02),0)</f>
        <v>0</v>
      </c>
      <c r="Q49" s="168"/>
      <c r="R49" s="148"/>
      <c r="S49" s="42">
        <f>SUM(J49:R49)</f>
        <v>0</v>
      </c>
      <c r="T49" s="5"/>
    </row>
    <row r="50" spans="1:20" ht="15.75">
      <c r="A50" s="21"/>
      <c r="B50" s="21"/>
      <c r="C50" s="13" t="s">
        <v>31</v>
      </c>
      <c r="D50" s="10" t="s">
        <v>26</v>
      </c>
      <c r="E50" s="31"/>
      <c r="F50" s="31"/>
      <c r="J50" s="42">
        <v>0</v>
      </c>
      <c r="K50" s="158"/>
      <c r="L50" s="177"/>
      <c r="M50" s="42">
        <f>ROUND((J50*1.02),0)</f>
        <v>0</v>
      </c>
      <c r="N50" s="168"/>
      <c r="O50" s="148"/>
      <c r="P50" s="42">
        <f>ROUND((M50*1.02),0)</f>
        <v>0</v>
      </c>
      <c r="Q50" s="168"/>
      <c r="R50" s="148"/>
      <c r="S50" s="42">
        <f>SUM(J50:R50)</f>
        <v>0</v>
      </c>
      <c r="T50" s="5"/>
    </row>
    <row r="51" spans="1:20" s="31" customFormat="1" ht="15.75">
      <c r="A51" s="21"/>
      <c r="B51" s="21"/>
      <c r="C51" s="27" t="s">
        <v>32</v>
      </c>
      <c r="D51" s="28"/>
      <c r="E51" s="28"/>
      <c r="F51" s="28"/>
      <c r="G51" s="28"/>
      <c r="H51" s="28"/>
      <c r="I51" s="28"/>
      <c r="J51" s="53">
        <f>SUM(J49:J50)</f>
        <v>0</v>
      </c>
      <c r="K51" s="160"/>
      <c r="L51" s="179"/>
      <c r="M51" s="55">
        <f>SUM(M49:M50)</f>
        <v>0</v>
      </c>
      <c r="N51" s="160"/>
      <c r="O51" s="48"/>
      <c r="P51" s="55">
        <f>SUM(P49:P50)</f>
        <v>0</v>
      </c>
      <c r="Q51" s="160"/>
      <c r="R51" s="48"/>
      <c r="S51" s="55">
        <f>SUM(J51:R51)</f>
        <v>0</v>
      </c>
      <c r="T51" s="29"/>
    </row>
    <row r="52" spans="1:20" ht="10.5" customHeight="1">
      <c r="A52" s="1"/>
      <c r="B52" s="1"/>
      <c r="C52" s="28"/>
      <c r="D52" s="26"/>
      <c r="E52" s="26"/>
      <c r="F52" s="26"/>
      <c r="G52" s="26"/>
      <c r="H52" s="26"/>
      <c r="I52" s="26"/>
      <c r="J52" s="52"/>
      <c r="K52" s="157"/>
      <c r="L52" s="176"/>
      <c r="M52" s="42"/>
      <c r="N52" s="157"/>
      <c r="O52" s="46"/>
      <c r="P52" s="42"/>
      <c r="Q52" s="157"/>
      <c r="R52" s="46"/>
      <c r="S52" s="42"/>
      <c r="T52" s="6"/>
    </row>
    <row r="53" spans="1:20" ht="15.75">
      <c r="A53" s="22" t="s">
        <v>33</v>
      </c>
      <c r="B53" s="22" t="s">
        <v>34</v>
      </c>
      <c r="C53" s="21"/>
      <c r="D53" s="21"/>
      <c r="E53" s="21"/>
      <c r="F53" s="21"/>
      <c r="G53" s="1"/>
      <c r="H53" s="1"/>
      <c r="I53" s="1"/>
      <c r="J53" s="54" t="s">
        <v>1</v>
      </c>
      <c r="K53" s="158"/>
      <c r="L53" s="177"/>
      <c r="M53" s="42" t="s">
        <v>1</v>
      </c>
      <c r="N53" s="158"/>
      <c r="O53" s="50"/>
      <c r="P53" s="42" t="s">
        <v>1</v>
      </c>
      <c r="Q53" s="158"/>
      <c r="R53" s="50"/>
      <c r="S53" s="42"/>
      <c r="T53" s="5"/>
    </row>
    <row r="54" spans="1:20" ht="15.75">
      <c r="A54" s="21"/>
      <c r="B54" s="21"/>
      <c r="C54" s="13" t="s">
        <v>35</v>
      </c>
      <c r="D54" s="3"/>
      <c r="E54" s="31"/>
      <c r="F54" s="31"/>
      <c r="J54" s="42">
        <v>0</v>
      </c>
      <c r="K54" s="158"/>
      <c r="L54" s="177"/>
      <c r="M54" s="42">
        <f>ROUND((J54*1.02),0)</f>
        <v>0</v>
      </c>
      <c r="N54" s="168"/>
      <c r="O54" s="148"/>
      <c r="P54" s="42">
        <f>ROUND((M54*1.02),0)</f>
        <v>0</v>
      </c>
      <c r="Q54" s="168"/>
      <c r="R54" s="148"/>
      <c r="S54" s="42">
        <f aca="true" t="shared" si="12" ref="S54:S65">SUM(J54:R54)</f>
        <v>0</v>
      </c>
      <c r="T54" s="5"/>
    </row>
    <row r="55" spans="1:20" ht="15.75">
      <c r="A55" s="21"/>
      <c r="B55" s="21"/>
      <c r="C55" s="13" t="s">
        <v>36</v>
      </c>
      <c r="D55" s="3"/>
      <c r="E55" s="31"/>
      <c r="F55" s="31"/>
      <c r="J55" s="42">
        <v>0</v>
      </c>
      <c r="K55" s="158"/>
      <c r="L55" s="177"/>
      <c r="M55" s="42">
        <f aca="true" t="shared" si="13" ref="M55:M60">ROUND((J55*1.02),0)</f>
        <v>0</v>
      </c>
      <c r="N55" s="168"/>
      <c r="O55" s="148"/>
      <c r="P55" s="42">
        <f aca="true" t="shared" si="14" ref="P55:P60">ROUND((M55*1.02),0)</f>
        <v>0</v>
      </c>
      <c r="Q55" s="168"/>
      <c r="R55" s="148"/>
      <c r="S55" s="42">
        <f t="shared" si="12"/>
        <v>0</v>
      </c>
      <c r="T55" s="5"/>
    </row>
    <row r="56" spans="1:20" ht="15.75">
      <c r="A56" s="21"/>
      <c r="B56" s="21"/>
      <c r="C56" s="13" t="s">
        <v>37</v>
      </c>
      <c r="D56" s="3"/>
      <c r="E56" s="31"/>
      <c r="F56" s="31"/>
      <c r="J56" s="42">
        <v>0</v>
      </c>
      <c r="K56" s="158"/>
      <c r="L56" s="177"/>
      <c r="M56" s="42">
        <f t="shared" si="13"/>
        <v>0</v>
      </c>
      <c r="N56" s="168"/>
      <c r="O56" s="148"/>
      <c r="P56" s="42">
        <f t="shared" si="14"/>
        <v>0</v>
      </c>
      <c r="Q56" s="169"/>
      <c r="R56" s="42"/>
      <c r="S56" s="42">
        <f t="shared" si="12"/>
        <v>0</v>
      </c>
      <c r="T56" s="5"/>
    </row>
    <row r="57" spans="1:20" ht="15.75">
      <c r="A57" s="21"/>
      <c r="B57" s="21"/>
      <c r="C57" s="13" t="s">
        <v>38</v>
      </c>
      <c r="D57" s="3"/>
      <c r="E57" s="31"/>
      <c r="F57" s="31"/>
      <c r="J57" s="42">
        <v>0</v>
      </c>
      <c r="K57" s="158"/>
      <c r="L57" s="177"/>
      <c r="M57" s="42">
        <f t="shared" si="13"/>
        <v>0</v>
      </c>
      <c r="N57" s="168"/>
      <c r="O57" s="148"/>
      <c r="P57" s="42">
        <f t="shared" si="14"/>
        <v>0</v>
      </c>
      <c r="Q57" s="168"/>
      <c r="R57" s="148"/>
      <c r="S57" s="42">
        <f t="shared" si="12"/>
        <v>0</v>
      </c>
      <c r="T57" s="5"/>
    </row>
    <row r="58" spans="1:20" ht="15.75">
      <c r="A58" s="21"/>
      <c r="B58" s="21"/>
      <c r="C58" s="235" t="s">
        <v>104</v>
      </c>
      <c r="D58" s="3"/>
      <c r="E58" s="31"/>
      <c r="F58" s="31"/>
      <c r="J58" s="42">
        <v>0</v>
      </c>
      <c r="K58" s="158"/>
      <c r="L58" s="177"/>
      <c r="M58" s="42">
        <f t="shared" si="13"/>
        <v>0</v>
      </c>
      <c r="N58" s="168"/>
      <c r="O58" s="148"/>
      <c r="P58" s="42">
        <f t="shared" si="14"/>
        <v>0</v>
      </c>
      <c r="Q58" s="168"/>
      <c r="R58" s="148"/>
      <c r="S58" s="42">
        <f t="shared" si="12"/>
        <v>0</v>
      </c>
      <c r="T58" s="5"/>
    </row>
    <row r="59" spans="1:20" ht="15.75">
      <c r="A59" s="21"/>
      <c r="B59" s="21"/>
      <c r="C59" s="13" t="s">
        <v>92</v>
      </c>
      <c r="D59" s="3"/>
      <c r="E59" s="31"/>
      <c r="F59" s="31"/>
      <c r="J59" s="42">
        <v>0</v>
      </c>
      <c r="K59" s="158"/>
      <c r="L59" s="177"/>
      <c r="M59" s="42">
        <f t="shared" si="13"/>
        <v>0</v>
      </c>
      <c r="N59" s="169"/>
      <c r="O59" s="42"/>
      <c r="P59" s="42">
        <f t="shared" si="14"/>
        <v>0</v>
      </c>
      <c r="Q59" s="169"/>
      <c r="R59" s="42"/>
      <c r="S59" s="42">
        <f t="shared" si="12"/>
        <v>0</v>
      </c>
      <c r="T59" s="5"/>
    </row>
    <row r="60" spans="1:20" ht="15.75">
      <c r="A60" s="21"/>
      <c r="B60" s="21"/>
      <c r="C60" s="13" t="s">
        <v>39</v>
      </c>
      <c r="D60" s="21"/>
      <c r="E60" s="21"/>
      <c r="F60" s="21"/>
      <c r="G60" s="1"/>
      <c r="H60" s="1"/>
      <c r="I60" s="1"/>
      <c r="J60" s="42">
        <v>0</v>
      </c>
      <c r="K60" s="158"/>
      <c r="L60" s="177"/>
      <c r="M60" s="42">
        <f t="shared" si="13"/>
        <v>0</v>
      </c>
      <c r="N60" s="169"/>
      <c r="O60" s="42"/>
      <c r="P60" s="42">
        <f t="shared" si="14"/>
        <v>0</v>
      </c>
      <c r="Q60" s="169"/>
      <c r="R60" s="42"/>
      <c r="S60" s="42">
        <f t="shared" si="12"/>
        <v>0</v>
      </c>
      <c r="T60" s="5"/>
    </row>
    <row r="61" spans="1:21" ht="15.75">
      <c r="A61" s="21"/>
      <c r="B61" s="21"/>
      <c r="C61" s="22" t="s">
        <v>40</v>
      </c>
      <c r="D61" s="10"/>
      <c r="E61" s="31"/>
      <c r="F61" s="31"/>
      <c r="J61" s="42">
        <v>0</v>
      </c>
      <c r="K61" s="158"/>
      <c r="L61" s="177"/>
      <c r="M61" s="42">
        <v>0</v>
      </c>
      <c r="N61" s="168"/>
      <c r="O61" s="148"/>
      <c r="P61" s="42">
        <v>0</v>
      </c>
      <c r="Q61" s="168"/>
      <c r="R61" s="148"/>
      <c r="S61" s="42">
        <f t="shared" si="12"/>
        <v>0</v>
      </c>
      <c r="T61" s="5"/>
      <c r="U61" s="76"/>
    </row>
    <row r="62" spans="1:21" ht="15.75">
      <c r="A62" s="21"/>
      <c r="B62" s="21"/>
      <c r="C62" s="63" t="s">
        <v>41</v>
      </c>
      <c r="D62" s="10"/>
      <c r="E62" s="31"/>
      <c r="F62" s="31"/>
      <c r="J62" s="42">
        <v>0</v>
      </c>
      <c r="K62" s="158"/>
      <c r="L62" s="177"/>
      <c r="M62" s="42">
        <v>0</v>
      </c>
      <c r="N62" s="168"/>
      <c r="O62" s="148"/>
      <c r="P62" s="42">
        <v>0</v>
      </c>
      <c r="Q62" s="168"/>
      <c r="R62" s="148"/>
      <c r="S62" s="42">
        <f t="shared" si="12"/>
        <v>0</v>
      </c>
      <c r="T62" s="5"/>
      <c r="U62" s="76"/>
    </row>
    <row r="63" spans="1:21" ht="15.75">
      <c r="A63" s="21"/>
      <c r="B63" s="21"/>
      <c r="C63" s="63" t="s">
        <v>96</v>
      </c>
      <c r="D63" s="10"/>
      <c r="E63" s="31"/>
      <c r="F63" s="31"/>
      <c r="J63" s="42">
        <v>0</v>
      </c>
      <c r="K63" s="158"/>
      <c r="L63" s="177"/>
      <c r="M63" s="42">
        <v>0</v>
      </c>
      <c r="N63" s="168"/>
      <c r="O63" s="148"/>
      <c r="P63" s="42">
        <v>0</v>
      </c>
      <c r="Q63" s="168"/>
      <c r="R63" s="148"/>
      <c r="S63" s="42">
        <f t="shared" si="12"/>
        <v>0</v>
      </c>
      <c r="T63" s="5"/>
      <c r="U63" s="76"/>
    </row>
    <row r="64" spans="1:21" ht="15.75">
      <c r="A64" s="21"/>
      <c r="B64" s="21"/>
      <c r="C64" s="63" t="s">
        <v>97</v>
      </c>
      <c r="D64" s="10"/>
      <c r="E64" s="31"/>
      <c r="F64" s="31"/>
      <c r="J64" s="42">
        <v>0</v>
      </c>
      <c r="K64" s="158"/>
      <c r="L64" s="177"/>
      <c r="M64" s="42">
        <v>0</v>
      </c>
      <c r="N64" s="168"/>
      <c r="O64" s="148"/>
      <c r="P64" s="42">
        <v>0</v>
      </c>
      <c r="Q64" s="168"/>
      <c r="R64" s="148"/>
      <c r="S64" s="42">
        <f t="shared" si="12"/>
        <v>0</v>
      </c>
      <c r="T64" s="5"/>
      <c r="U64" s="76"/>
    </row>
    <row r="65" spans="1:21" ht="15.75">
      <c r="A65" s="40" t="s">
        <v>42</v>
      </c>
      <c r="D65" s="28"/>
      <c r="E65" s="28"/>
      <c r="F65" s="28"/>
      <c r="G65" s="28"/>
      <c r="H65" s="28"/>
      <c r="I65" s="28"/>
      <c r="J65" s="51">
        <f>SUM(J54:J64)</f>
        <v>0</v>
      </c>
      <c r="K65" s="161"/>
      <c r="L65" s="180"/>
      <c r="M65" s="43">
        <f>SUM(M54:M64)</f>
        <v>0</v>
      </c>
      <c r="N65" s="161"/>
      <c r="O65" s="44"/>
      <c r="P65" s="43">
        <f>SUM(P54:P64)</f>
        <v>0</v>
      </c>
      <c r="Q65" s="161"/>
      <c r="R65" s="44"/>
      <c r="S65" s="43">
        <f t="shared" si="12"/>
        <v>0</v>
      </c>
      <c r="T65" s="34"/>
      <c r="U65" s="76"/>
    </row>
    <row r="66" spans="1:20" ht="7.5" customHeight="1">
      <c r="A66" s="21"/>
      <c r="B66" s="21"/>
      <c r="C66" s="26"/>
      <c r="D66" s="28"/>
      <c r="E66" s="28"/>
      <c r="F66" s="28"/>
      <c r="G66" s="26"/>
      <c r="H66" s="26"/>
      <c r="I66" s="26"/>
      <c r="J66" s="52"/>
      <c r="K66" s="157"/>
      <c r="L66" s="176"/>
      <c r="M66" s="46"/>
      <c r="N66" s="157"/>
      <c r="O66" s="46"/>
      <c r="P66" s="46"/>
      <c r="Q66" s="157"/>
      <c r="R66" s="46"/>
      <c r="S66" s="46" t="s">
        <v>1</v>
      </c>
      <c r="T66" s="6"/>
    </row>
    <row r="67" spans="1:20" ht="16.5">
      <c r="A67" s="28"/>
      <c r="B67" s="28"/>
      <c r="C67" s="28"/>
      <c r="D67" s="21"/>
      <c r="E67" s="32" t="s">
        <v>43</v>
      </c>
      <c r="F67" s="32"/>
      <c r="G67" s="39"/>
      <c r="H67" s="39"/>
      <c r="I67" s="39"/>
      <c r="J67" s="65">
        <f>ROUND(+J65+J51+J46+J41,0)</f>
        <v>0</v>
      </c>
      <c r="K67" s="162"/>
      <c r="L67" s="181"/>
      <c r="M67" s="65">
        <f>ROUND(+M65+M51+M46+M41,0)</f>
        <v>0</v>
      </c>
      <c r="N67" s="162"/>
      <c r="O67" s="65"/>
      <c r="P67" s="65">
        <f>ROUND(+P65+P51+P46+P41,0)</f>
        <v>0</v>
      </c>
      <c r="Q67" s="162"/>
      <c r="R67" s="65"/>
      <c r="S67" s="65">
        <f>SUM(J67:R67)</f>
        <v>0</v>
      </c>
      <c r="T67" s="34"/>
    </row>
    <row r="68" spans="1:19" ht="7.5" customHeight="1">
      <c r="A68" s="28"/>
      <c r="B68" s="28"/>
      <c r="C68" s="28"/>
      <c r="D68" s="21"/>
      <c r="E68" s="32"/>
      <c r="F68" s="32"/>
      <c r="G68" s="39"/>
      <c r="H68" s="39"/>
      <c r="I68" s="39"/>
      <c r="J68" s="66"/>
      <c r="K68" s="162"/>
      <c r="L68" s="181"/>
      <c r="M68" s="65"/>
      <c r="N68" s="170"/>
      <c r="O68" s="196"/>
      <c r="P68" s="65"/>
      <c r="Q68" s="170"/>
      <c r="R68" s="196"/>
      <c r="S68" s="65"/>
    </row>
    <row r="69" spans="1:21" ht="15.75">
      <c r="A69" s="28"/>
      <c r="B69" s="28"/>
      <c r="C69" s="28"/>
      <c r="D69" s="21"/>
      <c r="G69" s="39"/>
      <c r="H69" s="96" t="s">
        <v>123</v>
      </c>
      <c r="I69" s="39"/>
      <c r="J69" s="74">
        <f>(IF((J61)&gt;25000,(25000),J61)+((IF((J62)&gt;25000,(25000),J62))+((IF((J63)&gt;25000,(25000),J63))+((IF((J64)&gt;25000,(25000),J64))+SUM(J67-J46-J58-J61-J62-J63-J64-J59)))))</f>
        <v>0</v>
      </c>
      <c r="K69" s="163"/>
      <c r="L69" s="182"/>
      <c r="M69" s="74">
        <f>IF(J61&gt;=(25000),0,((IF((J61+M61)&lt;=(25000),M61,(25000-J61)))))+IF(J62&gt;=(25000),0,((IF((J62+M62)&lt;=(25000),M62,(25000-J62)))))+IF(J63&gt;=(25000),0,((IF((J63+M63)&lt;=(25000),M63,(25000-J63)))))+IF(J64&gt;=(25000),0,((IF((J64+M64)&lt;=(25000),M64,(25000-J64)))))+SUM(M67-M46-M58-M61-M62-M63-M64-M59)</f>
        <v>0</v>
      </c>
      <c r="N69" s="163"/>
      <c r="O69" s="197"/>
      <c r="P69" s="74">
        <f>IF(J61&gt;=(25000),0,(((IF((J61+M61)&gt;=(25000),0,((IF((J61+M61+P61)&lt;=(25000),P61,(25000-SUM(J61+M61))))))))))+IF(J62&gt;=(25000),0,(((IF((J62+M62)&gt;=(25000),0,((IF((J62+M62+P62)&lt;(25000),P62,(25000-SUM(J62+M62))))))))))+IF(J63&gt;=(25000),0,(((IF((J63+M63)&gt;=(25000),0,((IF((J63+M63+P63)&lt;(25000),P63,(25000-SUM(J63+M63))))))))))+IF(J64&gt;=(25000),0,(((IF((J64+M64)&gt;=(25000),0,((IF((J64+M64+P64)&lt;(25000),P64,(25000-SUM(J64+M64))))))))))+SUM(P67-P46-P58-P61-P62-P63-P64-P59)</f>
        <v>0</v>
      </c>
      <c r="Q69" s="163"/>
      <c r="R69" s="197"/>
      <c r="S69" s="74">
        <f>SUM(J69:R69)</f>
        <v>0</v>
      </c>
      <c r="U69" s="76"/>
    </row>
    <row r="70" spans="1:22" ht="15.75">
      <c r="A70" s="33" t="s">
        <v>122</v>
      </c>
      <c r="B70" s="1"/>
      <c r="C70" s="1"/>
      <c r="J70" s="42"/>
      <c r="K70" s="164"/>
      <c r="L70" s="183"/>
      <c r="M70" s="50"/>
      <c r="N70" s="164"/>
      <c r="O70" s="56"/>
      <c r="P70" s="50"/>
      <c r="Q70" s="164"/>
      <c r="R70" s="56"/>
      <c r="S70" s="50"/>
      <c r="T70" s="5"/>
      <c r="V70" s="75"/>
    </row>
    <row r="71" spans="1:20" ht="15.75">
      <c r="A71" s="13" t="s">
        <v>125</v>
      </c>
      <c r="B71" s="1"/>
      <c r="D71" s="7">
        <f>IF(AND(($E$82)="R",($E$84)="C"),('RATES-Fed'!E46),IF(AND(($E$82)="R",($E$84)="O"),('RATES-Fed'!E51),IF(AND(($E$82)="I",($E$84)="C"),('RATES-Fed'!E47),IF(AND(($E$82)="I",($E$84)="O"),('RATES-Fed'!E52),IF(AND(($E$82)="P",($E$84)="C"),('RATES-Fed'!E48),IF(AND(($E$82)="P",($E$84)="O"),('RATES-Fed'!E53),($E$83)))))))</f>
        <v>0.605</v>
      </c>
      <c r="E71" s="7">
        <f>IF(AND(($E$82)="R",($E$84)="C"),('RATES-Fed'!G46),IF(AND(($E$82)="R",($E$84)="O"),('RATES-Fed'!G51),IF(AND(($E$82)="I",($E$84)="C"),('RATES-Fed'!G47),IF(AND(($E$82)="I",($E$84)="O"),('RATES-Fed'!G52),IF(AND(($E$82)="P",($E$84)="C"),('RATES-Fed'!G48),IF(AND(($E$82)="P",($E$84)="O"),('RATES-Fed'!G53),($E$83)))))))</f>
        <v>0.605</v>
      </c>
      <c r="F71" s="7">
        <f>IF(AND(($E$82)="R",($E$84)="C"),('RATES-Fed'!I46),IF(AND(($E$82)="R",($E$84)="O"),('RATES-Fed'!I51),IF(AND(($E$82)="I",($E$84)="C"),('RATES-Fed'!I47),IF(AND(($E$82)="I",($E$84)="O"),('RATES-Fed'!I52),IF(AND(($E$82)="P",($E$84)="C"),('RATES-Fed'!I48),IF(AND(($E$82)="P",($E$84)="O"),('RATES-Fed'!I53),($E$83)))))))</f>
        <v>0.605</v>
      </c>
      <c r="G71" s="7"/>
      <c r="H71" s="7"/>
      <c r="J71" s="50">
        <f>ROUND(+D71*(J67-J46-J61-J62-J63-J64-J58-J59),0)</f>
        <v>0</v>
      </c>
      <c r="K71" s="158"/>
      <c r="L71" s="177"/>
      <c r="M71" s="50">
        <f>ROUND(+E71*(M67-M46-M61-M62-M63-M64-M58-M59),0)</f>
        <v>0</v>
      </c>
      <c r="N71" s="158"/>
      <c r="O71" s="50"/>
      <c r="P71" s="50">
        <f>ROUND(+F71*(P67-P46-P61-P62-P63-P64-P58-P59),0)</f>
        <v>0</v>
      </c>
      <c r="Q71" s="158"/>
      <c r="R71" s="50"/>
      <c r="S71" s="50">
        <f aca="true" t="shared" si="15" ref="S71:S76">SUM(J71:R71)</f>
        <v>0</v>
      </c>
      <c r="T71" s="5"/>
    </row>
    <row r="72" spans="1:20" ht="15.75">
      <c r="A72" s="13" t="s">
        <v>44</v>
      </c>
      <c r="D72" s="7">
        <f aca="true" t="shared" si="16" ref="D72:F74">+D71</f>
        <v>0.605</v>
      </c>
      <c r="E72" s="7">
        <f t="shared" si="16"/>
        <v>0.605</v>
      </c>
      <c r="F72" s="7">
        <f t="shared" si="16"/>
        <v>0.605</v>
      </c>
      <c r="G72" s="7"/>
      <c r="H72" s="7"/>
      <c r="J72" s="50">
        <f>(IF((J61)&gt;25000,(25000),J61)*D72)</f>
        <v>0</v>
      </c>
      <c r="K72" s="50"/>
      <c r="L72" s="50"/>
      <c r="M72" s="50">
        <f>IF(J61&gt;=(25000),0,((IF((J61+M61)&lt;=(25000),M61,(25000-J61))))*E72)</f>
        <v>0</v>
      </c>
      <c r="N72" s="274"/>
      <c r="O72" s="50"/>
      <c r="P72" s="50">
        <f>IF(J61&gt;=(25000),0,(((IF((J61+M61)&gt;=(25000),0,((IF((J61+M61+P61)&lt;=(25000),P61,(25000-SUM(J61+M61)))))))))*F72)</f>
        <v>0</v>
      </c>
      <c r="Q72" s="158"/>
      <c r="R72" s="50"/>
      <c r="S72" s="50">
        <f t="shared" si="15"/>
        <v>0</v>
      </c>
      <c r="T72" s="5"/>
    </row>
    <row r="73" spans="1:20" ht="15.75">
      <c r="A73" s="13" t="s">
        <v>45</v>
      </c>
      <c r="D73" s="7">
        <f t="shared" si="16"/>
        <v>0.605</v>
      </c>
      <c r="E73" s="7">
        <f t="shared" si="16"/>
        <v>0.605</v>
      </c>
      <c r="F73" s="7">
        <f t="shared" si="16"/>
        <v>0.605</v>
      </c>
      <c r="G73" s="7"/>
      <c r="H73" s="7"/>
      <c r="J73" s="50">
        <f>(IF((J62)&gt;25000,(25000),J62)*D73)</f>
        <v>0</v>
      </c>
      <c r="K73" s="274"/>
      <c r="L73" s="177"/>
      <c r="M73" s="50">
        <f>IF(J62&gt;=(25000),0,((IF((J62+M62)&lt;=(25000),M62,(25000-J62))))*E73)</f>
        <v>0</v>
      </c>
      <c r="N73" s="274"/>
      <c r="O73" s="50"/>
      <c r="P73" s="50">
        <f>IF(J62&gt;=(25000),0,(((IF((J62+M62)&gt;=(25000),0,((IF((J62+M62+P62)&lt;=(25000),P62,(25000-SUM(J62+M62)))))))))*F73)</f>
        <v>0</v>
      </c>
      <c r="Q73" s="158"/>
      <c r="R73" s="50"/>
      <c r="S73" s="50">
        <f>SUM(J73:R73)</f>
        <v>0</v>
      </c>
      <c r="T73" s="5"/>
    </row>
    <row r="74" spans="1:20" ht="15.75">
      <c r="A74" s="13" t="s">
        <v>94</v>
      </c>
      <c r="D74" s="7">
        <f t="shared" si="16"/>
        <v>0.605</v>
      </c>
      <c r="E74" s="7">
        <f t="shared" si="16"/>
        <v>0.605</v>
      </c>
      <c r="F74" s="7">
        <f t="shared" si="16"/>
        <v>0.605</v>
      </c>
      <c r="G74" s="7"/>
      <c r="H74" s="7"/>
      <c r="J74" s="50">
        <f>(IF((J63)&gt;25000,(25000),J63)*D74)</f>
        <v>0</v>
      </c>
      <c r="K74" s="274"/>
      <c r="L74" s="177"/>
      <c r="M74" s="50">
        <f>IF(J63&gt;=(25000),0,((IF((J63+M63)&lt;=(25000),M63,(25000-J63))))*E74)</f>
        <v>0</v>
      </c>
      <c r="N74" s="274"/>
      <c r="O74" s="50"/>
      <c r="P74" s="50">
        <f>IF(J63&gt;=(25000),0,(((IF((J63+M63)&gt;=(25000),0,((IF((J63+M63+P63)&lt;=(25000),P63,(25000-SUM(J63+M63)))))))))*F74)</f>
        <v>0</v>
      </c>
      <c r="Q74" s="158"/>
      <c r="R74" s="50"/>
      <c r="S74" s="50">
        <f t="shared" si="15"/>
        <v>0</v>
      </c>
      <c r="T74" s="5"/>
    </row>
    <row r="75" spans="1:20" ht="15.75">
      <c r="A75" s="13" t="s">
        <v>95</v>
      </c>
      <c r="B75" s="1"/>
      <c r="C75" s="1"/>
      <c r="D75" s="7">
        <f>+D72</f>
        <v>0.605</v>
      </c>
      <c r="E75" s="7">
        <f>+E72</f>
        <v>0.605</v>
      </c>
      <c r="F75" s="7">
        <f>+F72</f>
        <v>0.605</v>
      </c>
      <c r="G75" s="7"/>
      <c r="H75" s="7"/>
      <c r="J75" s="50">
        <f>(IF((J64)&gt;25000,(25000),J64)*D75)</f>
        <v>0</v>
      </c>
      <c r="K75" s="274"/>
      <c r="L75" s="177"/>
      <c r="M75" s="50">
        <f>IF(J64&gt;=(25000),0,((IF((J64+M64)&lt;=(25000),M64,(25000-J64))))*E75)</f>
        <v>0</v>
      </c>
      <c r="N75" s="274"/>
      <c r="O75" s="50"/>
      <c r="P75" s="50">
        <f>IF(J64&gt;=(25000),0,(((IF((J64+M64)&gt;=(25000),0,((IF((J64+M64+P64)&lt;=(25000),P64,(25000-SUM(J64+M64)))))))))*F75)</f>
        <v>0</v>
      </c>
      <c r="Q75" s="158"/>
      <c r="R75" s="50"/>
      <c r="S75" s="50">
        <f t="shared" si="15"/>
        <v>0</v>
      </c>
      <c r="T75" s="5"/>
    </row>
    <row r="76" spans="1:20" ht="15.75">
      <c r="A76" s="40" t="s">
        <v>124</v>
      </c>
      <c r="B76" s="1"/>
      <c r="C76" s="24"/>
      <c r="D76" s="35"/>
      <c r="E76" s="7"/>
      <c r="F76" s="7"/>
      <c r="G76" s="7"/>
      <c r="H76" s="7"/>
      <c r="I76" s="7"/>
      <c r="J76" s="53">
        <f>SUM(J71:J75)</f>
        <v>0</v>
      </c>
      <c r="K76" s="161"/>
      <c r="L76" s="180"/>
      <c r="M76" s="53">
        <f>SUM(M71:M75)</f>
        <v>0</v>
      </c>
      <c r="N76" s="161"/>
      <c r="O76" s="44"/>
      <c r="P76" s="53">
        <f>SUM(P71:P75)</f>
        <v>0</v>
      </c>
      <c r="Q76" s="161"/>
      <c r="R76" s="44"/>
      <c r="S76" s="53">
        <f t="shared" si="15"/>
        <v>0</v>
      </c>
      <c r="T76" s="5"/>
    </row>
    <row r="77" spans="1:20" ht="6.75" customHeight="1">
      <c r="A77" s="40"/>
      <c r="B77" s="1"/>
      <c r="C77" s="24"/>
      <c r="D77" s="35"/>
      <c r="E77" s="7"/>
      <c r="F77" s="7"/>
      <c r="G77" s="7"/>
      <c r="H77" s="7"/>
      <c r="I77" s="7"/>
      <c r="J77" s="61"/>
      <c r="K77" s="161"/>
      <c r="L77" s="180"/>
      <c r="M77" s="62"/>
      <c r="N77" s="161"/>
      <c r="O77" s="44"/>
      <c r="P77" s="62"/>
      <c r="Q77" s="161"/>
      <c r="R77" s="44"/>
      <c r="S77" s="62"/>
      <c r="T77" s="5"/>
    </row>
    <row r="78" spans="1:20" ht="19.5" thickBot="1">
      <c r="A78" s="40"/>
      <c r="B78" s="1"/>
      <c r="C78" s="60" t="s">
        <v>46</v>
      </c>
      <c r="D78" s="35"/>
      <c r="E78" s="7"/>
      <c r="F78" s="7"/>
      <c r="G78" s="7"/>
      <c r="H78" s="7"/>
      <c r="I78" s="7"/>
      <c r="J78" s="72">
        <f>J76+J67</f>
        <v>0</v>
      </c>
      <c r="K78" s="162"/>
      <c r="L78" s="181"/>
      <c r="M78" s="72">
        <f>M76+M67</f>
        <v>0</v>
      </c>
      <c r="N78" s="162"/>
      <c r="O78" s="65"/>
      <c r="P78" s="72">
        <f>P76+P67</f>
        <v>0</v>
      </c>
      <c r="Q78" s="162"/>
      <c r="R78" s="65"/>
      <c r="S78" s="72">
        <f>SUM(J78:R78)</f>
        <v>0</v>
      </c>
      <c r="T78" s="5"/>
    </row>
    <row r="79" spans="1:20" ht="8.25" customHeight="1" thickTop="1">
      <c r="A79" s="28"/>
      <c r="B79" s="1"/>
      <c r="C79" s="35"/>
      <c r="D79" s="7"/>
      <c r="E79" s="7"/>
      <c r="F79" s="7"/>
      <c r="G79" s="7"/>
      <c r="H79" s="7"/>
      <c r="I79" s="7"/>
      <c r="J79" s="50"/>
      <c r="K79" s="158"/>
      <c r="L79" s="177"/>
      <c r="M79" s="50"/>
      <c r="N79" s="158"/>
      <c r="O79" s="50"/>
      <c r="P79" s="50"/>
      <c r="Q79" s="158"/>
      <c r="R79" s="50"/>
      <c r="S79" s="50" t="s">
        <v>1</v>
      </c>
      <c r="T79" s="5"/>
    </row>
    <row r="80" spans="1:20" ht="9" customHeight="1">
      <c r="A80" s="1"/>
      <c r="B80" s="1"/>
      <c r="C80" s="1"/>
      <c r="D80" s="1"/>
      <c r="E80" s="1"/>
      <c r="F80" s="1"/>
      <c r="G80" s="1"/>
      <c r="H80" s="1"/>
      <c r="I80" s="1"/>
      <c r="J80" s="49"/>
      <c r="K80" s="165"/>
      <c r="L80" s="184"/>
      <c r="M80" s="58"/>
      <c r="N80" s="165"/>
      <c r="O80" s="57"/>
      <c r="P80" s="58"/>
      <c r="Q80" s="165"/>
      <c r="R80" s="57"/>
      <c r="S80" s="58"/>
      <c r="T80" s="1"/>
    </row>
    <row r="81" ht="15.75">
      <c r="C81" s="36" t="s">
        <v>126</v>
      </c>
    </row>
    <row r="82" spans="3:7" ht="15.75">
      <c r="C82" s="14" t="s">
        <v>47</v>
      </c>
      <c r="E82" s="15" t="s">
        <v>48</v>
      </c>
      <c r="G82" s="14" t="s">
        <v>49</v>
      </c>
    </row>
    <row r="83" spans="3:6" ht="15.75">
      <c r="C83" s="14" t="s">
        <v>205</v>
      </c>
      <c r="E83" s="9">
        <v>0.1</v>
      </c>
      <c r="F83" s="9"/>
    </row>
    <row r="84" spans="3:7" ht="15.75">
      <c r="C84" s="14" t="s">
        <v>50</v>
      </c>
      <c r="E84" s="172" t="s">
        <v>51</v>
      </c>
      <c r="G84" s="14" t="s">
        <v>52</v>
      </c>
    </row>
    <row r="86" spans="4:16" ht="15.75">
      <c r="D86" s="222" t="s">
        <v>231</v>
      </c>
      <c r="H86" s="220">
        <f>+'RATES-Fed'!E31</f>
        <v>0.605</v>
      </c>
      <c r="J86" s="219">
        <f>J76/12*'RATES-Fed'!$C$46</f>
        <v>0</v>
      </c>
      <c r="L86" s="220">
        <f>+'RATES-Fed'!G31</f>
        <v>0.605</v>
      </c>
      <c r="M86" s="219">
        <f>M76/12*'RATES-Fed'!$C$46</f>
        <v>0</v>
      </c>
      <c r="O86" s="221">
        <f>+'RATES-Fed'!I31</f>
        <v>0.605</v>
      </c>
      <c r="P86" s="219">
        <f>P76/12*'RATES-Fed'!$C$46</f>
        <v>0</v>
      </c>
    </row>
    <row r="87" spans="4:16" ht="15.75">
      <c r="D87" s="302" t="s">
        <v>232</v>
      </c>
      <c r="E87" s="302"/>
      <c r="F87" s="302"/>
      <c r="G87" s="302"/>
      <c r="H87" s="220">
        <f>+'RATES-Fed'!G31</f>
        <v>0.605</v>
      </c>
      <c r="J87" s="219">
        <f>J76/12*'RATES-Fed'!$D$46</f>
        <v>0</v>
      </c>
      <c r="L87" s="220">
        <f>+'RATES-Fed'!I31</f>
        <v>0.605</v>
      </c>
      <c r="M87" s="219">
        <f>M76/12*'RATES-Fed'!$D$46</f>
        <v>0</v>
      </c>
      <c r="O87" s="221">
        <f>+'RATES-Fed'!K31</f>
        <v>0.605</v>
      </c>
      <c r="P87" s="219">
        <f>P76/12*'RATES-Fed'!$D$46</f>
        <v>0</v>
      </c>
    </row>
    <row r="88" spans="4:19" ht="18.75">
      <c r="D88" s="302"/>
      <c r="E88" s="302"/>
      <c r="F88" s="302"/>
      <c r="G88" s="302"/>
      <c r="J88" s="219">
        <f>SUM(J86:J87)</f>
        <v>0</v>
      </c>
      <c r="M88" s="219">
        <f>SUM(M86:M87)</f>
        <v>0</v>
      </c>
      <c r="P88" s="219">
        <f>SUM(P86:P87)</f>
        <v>0</v>
      </c>
      <c r="Q88" s="313">
        <f>'RATES-Fed'!Q67</f>
        <v>0</v>
      </c>
      <c r="R88" s="313"/>
      <c r="S88" s="313"/>
    </row>
  </sheetData>
  <sheetProtection/>
  <mergeCells count="6">
    <mergeCell ref="K4:R5"/>
    <mergeCell ref="J8:L8"/>
    <mergeCell ref="M8:O8"/>
    <mergeCell ref="P8:R8"/>
    <mergeCell ref="Q88:S88"/>
    <mergeCell ref="D87:G88"/>
  </mergeCells>
  <dataValidations count="1">
    <dataValidation type="list" allowBlank="1" showInputMessage="1" showErrorMessage="1" sqref="D11 D13 D15 D17:D18 D21:D24">
      <formula1>APPTS</formula1>
    </dataValidation>
  </dataValidations>
  <hyperlinks>
    <hyperlink ref="C58" r:id="rId1" display="UC Tuition rates (Not Subject to Indirect)"/>
  </hyperlinks>
  <printOptions/>
  <pageMargins left="0.5" right="0.3" top="0.5" bottom="0.5" header="0.5" footer="0.5"/>
  <pageSetup fitToHeight="1" fitToWidth="1" horizontalDpi="300" verticalDpi="300" orientation="landscape" scale="46" r:id="rId4"/>
  <legacyDrawing r:id="rId3"/>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Y88"/>
  <sheetViews>
    <sheetView showGridLines="0" zoomScale="75" zoomScaleNormal="75" workbookViewId="0" topLeftCell="C1">
      <selection activeCell="U41" sqref="U41"/>
    </sheetView>
  </sheetViews>
  <sheetFormatPr defaultColWidth="9.625" defaultRowHeight="15.75"/>
  <cols>
    <col min="1" max="2" width="2.625" style="0" customWidth="1"/>
    <col min="3" max="3" width="20.50390625" style="0" customWidth="1"/>
    <col min="4" max="4" width="16.125" style="0" customWidth="1"/>
    <col min="5" max="6" width="7.625" style="0" customWidth="1"/>
    <col min="7" max="7" width="9.875" style="0" customWidth="1"/>
    <col min="8" max="8" width="7.25390625" style="0" customWidth="1"/>
    <col min="9" max="9" width="7.25390625" style="0" hidden="1" customWidth="1"/>
    <col min="10" max="10" width="13.75390625" style="0" customWidth="1"/>
    <col min="11" max="11" width="8.125" style="166" bestFit="1" customWidth="1"/>
    <col min="12" max="12" width="10.125" style="185" bestFit="1" customWidth="1"/>
    <col min="13" max="13" width="11.25390625" style="0" customWidth="1"/>
    <col min="14" max="14" width="9.25390625" style="166" bestFit="1" customWidth="1"/>
    <col min="15" max="15" width="9.50390625" style="94" bestFit="1" customWidth="1"/>
    <col min="16" max="16" width="11.25390625" style="0" customWidth="1"/>
    <col min="17" max="17" width="9.25390625" style="166" bestFit="1" customWidth="1"/>
    <col min="18" max="18" width="8.75390625" style="94" bestFit="1" customWidth="1"/>
    <col min="19" max="19" width="11.25390625" style="0" customWidth="1"/>
    <col min="20" max="20" width="9.25390625" style="166" bestFit="1" customWidth="1"/>
    <col min="21" max="21" width="8.75390625" style="94" bestFit="1" customWidth="1"/>
    <col min="22" max="22" width="14.625" style="0" customWidth="1"/>
    <col min="23" max="23" width="2.625" style="0" customWidth="1"/>
  </cols>
  <sheetData>
    <row r="1" spans="1:21" ht="18.75">
      <c r="A1" s="17" t="s">
        <v>0</v>
      </c>
      <c r="B1" s="18"/>
      <c r="C1" s="18"/>
      <c r="D1" s="18"/>
      <c r="E1" s="18"/>
      <c r="F1" s="18"/>
      <c r="G1" s="18"/>
      <c r="H1" s="18"/>
      <c r="I1" s="18"/>
      <c r="J1" s="19"/>
      <c r="K1" s="152"/>
      <c r="L1" s="173"/>
      <c r="M1" s="37"/>
      <c r="N1" s="167"/>
      <c r="O1" s="195"/>
      <c r="P1" s="37"/>
      <c r="Q1" s="167"/>
      <c r="R1" s="195"/>
      <c r="S1" s="37"/>
      <c r="T1" s="167"/>
      <c r="U1" s="195"/>
    </row>
    <row r="2" spans="1:22" ht="18.75">
      <c r="A2" s="17" t="s">
        <v>214</v>
      </c>
      <c r="B2" s="18"/>
      <c r="C2" s="18"/>
      <c r="D2" s="18"/>
      <c r="E2" s="18"/>
      <c r="F2" s="18"/>
      <c r="G2" s="18"/>
      <c r="H2" s="18"/>
      <c r="I2" s="18"/>
      <c r="J2" s="19"/>
      <c r="K2" s="152"/>
      <c r="L2" s="173"/>
      <c r="M2" s="37"/>
      <c r="N2" s="167"/>
      <c r="O2" s="195"/>
      <c r="P2" s="37"/>
      <c r="Q2" s="167"/>
      <c r="R2" s="195"/>
      <c r="S2" s="37"/>
      <c r="T2" s="167"/>
      <c r="U2" s="195"/>
      <c r="V2" s="37"/>
    </row>
    <row r="3" spans="1:22" ht="9.75" customHeight="1">
      <c r="A3" s="10" t="s">
        <v>1</v>
      </c>
      <c r="B3" s="1"/>
      <c r="J3" s="11" t="s">
        <v>1</v>
      </c>
      <c r="K3" s="153"/>
      <c r="L3" s="174"/>
      <c r="M3" s="8"/>
      <c r="P3" s="8"/>
      <c r="S3" s="8"/>
      <c r="V3" s="8"/>
    </row>
    <row r="4" spans="1:22" ht="15.75">
      <c r="A4" s="22" t="s">
        <v>2</v>
      </c>
      <c r="B4" s="1"/>
      <c r="D4" s="10" t="s">
        <v>71</v>
      </c>
      <c r="G4" s="3"/>
      <c r="J4" s="20" t="s">
        <v>3</v>
      </c>
      <c r="K4" s="303" t="s">
        <v>71</v>
      </c>
      <c r="L4" s="304"/>
      <c r="M4" s="305"/>
      <c r="N4" s="305"/>
      <c r="O4" s="305"/>
      <c r="P4" s="305"/>
      <c r="Q4" s="305"/>
      <c r="R4" s="305"/>
      <c r="S4" s="305"/>
      <c r="T4" s="305"/>
      <c r="U4" s="306"/>
      <c r="V4" s="8"/>
    </row>
    <row r="5" spans="1:22" ht="18.75">
      <c r="A5" s="22" t="s">
        <v>4</v>
      </c>
      <c r="B5" s="1"/>
      <c r="D5" s="10" t="s">
        <v>71</v>
      </c>
      <c r="E5" s="3"/>
      <c r="F5" s="3"/>
      <c r="H5" s="2"/>
      <c r="I5" s="2"/>
      <c r="J5" s="38"/>
      <c r="K5" s="307"/>
      <c r="L5" s="308"/>
      <c r="M5" s="308"/>
      <c r="N5" s="308"/>
      <c r="O5" s="308"/>
      <c r="P5" s="308"/>
      <c r="Q5" s="308"/>
      <c r="R5" s="308"/>
      <c r="S5" s="308"/>
      <c r="T5" s="308"/>
      <c r="U5" s="309"/>
      <c r="V5" s="8"/>
    </row>
    <row r="6" spans="1:22" ht="15.75">
      <c r="A6" s="14"/>
      <c r="B6" s="22" t="s">
        <v>5</v>
      </c>
      <c r="D6" s="73">
        <f>'RATES-Fed'!E2</f>
        <v>42917</v>
      </c>
      <c r="E6" s="12" t="s">
        <v>6</v>
      </c>
      <c r="F6" s="12"/>
      <c r="G6" s="73">
        <f>'RATES-Fed'!G2</f>
        <v>44742</v>
      </c>
      <c r="H6" s="4"/>
      <c r="I6" s="4"/>
      <c r="J6" s="2"/>
      <c r="K6" s="154"/>
      <c r="L6" s="175"/>
      <c r="M6" s="3"/>
      <c r="N6" s="154"/>
      <c r="O6" s="149"/>
      <c r="P6" s="3"/>
      <c r="Q6" s="154"/>
      <c r="R6" s="149"/>
      <c r="S6" s="3"/>
      <c r="T6" s="154"/>
      <c r="U6" s="149"/>
      <c r="V6" s="8"/>
    </row>
    <row r="7" spans="5:23" ht="7.5" customHeight="1">
      <c r="E7" s="3"/>
      <c r="F7" s="3"/>
      <c r="G7" s="1"/>
      <c r="H7" s="1"/>
      <c r="I7" s="1"/>
      <c r="J7" s="16" t="s">
        <v>1</v>
      </c>
      <c r="K7" s="153"/>
      <c r="L7" s="174"/>
      <c r="M7" s="8"/>
      <c r="N7" s="153"/>
      <c r="O7" s="143"/>
      <c r="P7" s="8"/>
      <c r="Q7" s="153"/>
      <c r="R7" s="143"/>
      <c r="S7" s="8"/>
      <c r="T7" s="153"/>
      <c r="U7" s="143"/>
      <c r="V7" s="8"/>
      <c r="W7" s="1"/>
    </row>
    <row r="8" spans="1:23" ht="15.75">
      <c r="A8" s="21"/>
      <c r="B8" s="21"/>
      <c r="C8" s="21"/>
      <c r="D8" s="21"/>
      <c r="E8" s="21"/>
      <c r="F8" s="21"/>
      <c r="G8" s="21"/>
      <c r="H8" s="21"/>
      <c r="I8" s="21"/>
      <c r="J8" s="292" t="s">
        <v>21</v>
      </c>
      <c r="K8" s="293"/>
      <c r="L8" s="294"/>
      <c r="M8" s="310" t="s">
        <v>54</v>
      </c>
      <c r="N8" s="311"/>
      <c r="O8" s="312"/>
      <c r="P8" s="310" t="s">
        <v>56</v>
      </c>
      <c r="Q8" s="311"/>
      <c r="R8" s="312"/>
      <c r="S8" s="310" t="s">
        <v>58</v>
      </c>
      <c r="T8" s="311"/>
      <c r="U8" s="312"/>
      <c r="V8" s="171" t="s">
        <v>8</v>
      </c>
      <c r="W8" s="21"/>
    </row>
    <row r="9" spans="1:23" s="147" customFormat="1" ht="15.75">
      <c r="A9" s="145" t="s">
        <v>9</v>
      </c>
      <c r="B9" s="145" t="s">
        <v>10</v>
      </c>
      <c r="C9" s="145"/>
      <c r="D9" s="145"/>
      <c r="E9" s="145"/>
      <c r="F9" s="145"/>
      <c r="G9" s="145"/>
      <c r="H9" s="145"/>
      <c r="I9" s="145"/>
      <c r="J9" s="189" t="s">
        <v>210</v>
      </c>
      <c r="K9" s="155" t="s">
        <v>211</v>
      </c>
      <c r="L9" s="145" t="s">
        <v>212</v>
      </c>
      <c r="M9" s="194" t="s">
        <v>210</v>
      </c>
      <c r="N9" s="155" t="s">
        <v>211</v>
      </c>
      <c r="O9" s="145" t="s">
        <v>212</v>
      </c>
      <c r="P9" s="194" t="s">
        <v>210</v>
      </c>
      <c r="Q9" s="155" t="s">
        <v>211</v>
      </c>
      <c r="R9" s="145" t="s">
        <v>212</v>
      </c>
      <c r="S9" s="194" t="s">
        <v>210</v>
      </c>
      <c r="T9" s="155" t="s">
        <v>211</v>
      </c>
      <c r="U9" s="145" t="s">
        <v>212</v>
      </c>
      <c r="V9" s="146"/>
      <c r="W9" s="145"/>
    </row>
    <row r="10" spans="1:23" ht="15.75">
      <c r="A10" s="1"/>
      <c r="B10" s="23" t="s">
        <v>11</v>
      </c>
      <c r="C10" s="24"/>
      <c r="D10" s="24" t="s">
        <v>103</v>
      </c>
      <c r="E10" s="1" t="s">
        <v>12</v>
      </c>
      <c r="F10" s="41" t="s">
        <v>129</v>
      </c>
      <c r="G10" s="41" t="s">
        <v>13</v>
      </c>
      <c r="H10" s="1"/>
      <c r="I10" s="1"/>
      <c r="J10" s="190"/>
      <c r="K10" s="153"/>
      <c r="L10" s="143"/>
      <c r="M10" s="190"/>
      <c r="N10" s="153"/>
      <c r="O10" s="143"/>
      <c r="P10" s="190"/>
      <c r="Q10" s="153"/>
      <c r="R10" s="143"/>
      <c r="S10" s="190"/>
      <c r="T10" s="153"/>
      <c r="U10" s="143"/>
      <c r="V10" s="2">
        <f>IF(SUM(J10:N10)=0,"",SUM(J10:N10))</f>
      </c>
      <c r="W10" s="1"/>
    </row>
    <row r="11" spans="1:23" ht="15.75">
      <c r="A11" s="1"/>
      <c r="B11" s="1" t="s">
        <v>14</v>
      </c>
      <c r="C11" s="10" t="str">
        <f>D5</f>
        <v>name</v>
      </c>
      <c r="D11" s="140" t="s">
        <v>131</v>
      </c>
      <c r="E11" s="70">
        <v>0</v>
      </c>
      <c r="F11" s="99">
        <f aca="true" t="shared" si="0" ref="F11:F18">IF(D11="CAL",(52*E11/4.3333),(IF(D11="ACAD",(32*E11/4.33333),IF(D11="SUMR",(14*E11/4.33333),IF(D11="PT",(0),0)))))</f>
        <v>0</v>
      </c>
      <c r="G11" s="69">
        <v>0</v>
      </c>
      <c r="J11" s="187">
        <f>ROUND(G11*E11,0)</f>
        <v>0</v>
      </c>
      <c r="K11" s="156">
        <f>ROUND(J11*'RATES-Fed'!E38,0)</f>
        <v>0</v>
      </c>
      <c r="L11" s="67">
        <f>ROUND(K11+J11,0)</f>
        <v>0</v>
      </c>
      <c r="M11" s="187">
        <f>ROUND((J11*1.02),0)</f>
        <v>0</v>
      </c>
      <c r="N11" s="156">
        <f>ROUND(M11*'RATES-Fed'!G38,0)</f>
        <v>0</v>
      </c>
      <c r="O11" s="67">
        <f aca="true" t="shared" si="1" ref="O11:O18">ROUND(M11+N11,0)</f>
        <v>0</v>
      </c>
      <c r="P11" s="187">
        <f>ROUND((M11*1.02),0)</f>
        <v>0</v>
      </c>
      <c r="Q11" s="156">
        <f>ROUND(P11*'RATES-Fed'!I38,0)</f>
        <v>0</v>
      </c>
      <c r="R11" s="67">
        <f>SUM(P11:Q11)</f>
        <v>0</v>
      </c>
      <c r="S11" s="187">
        <f>ROUND((P11*1.02),0)</f>
        <v>0</v>
      </c>
      <c r="T11" s="156">
        <f>ROUND(S11*'RATES-Fed'!K38,0)</f>
        <v>0</v>
      </c>
      <c r="U11" s="67">
        <f>SUM(S11:T11)</f>
        <v>0</v>
      </c>
      <c r="V11" s="42">
        <f>SUM(L11+O11+R11+U11)</f>
        <v>0</v>
      </c>
      <c r="W11" s="1"/>
    </row>
    <row r="12" spans="1:23" ht="15.75">
      <c r="A12" s="1"/>
      <c r="B12" s="1" t="s">
        <v>14</v>
      </c>
      <c r="C12" s="3"/>
      <c r="D12" s="140" t="str">
        <f>IF(D11="ACAD",("SUMR"),"")</f>
        <v>SUMR</v>
      </c>
      <c r="E12" s="70">
        <v>0</v>
      </c>
      <c r="F12" s="99">
        <f t="shared" si="0"/>
        <v>0</v>
      </c>
      <c r="G12" s="69">
        <f>+G11*0.4375</f>
        <v>0</v>
      </c>
      <c r="J12" s="187">
        <f aca="true" t="shared" si="2" ref="J12:J18">ROUND(G12*E12,0)</f>
        <v>0</v>
      </c>
      <c r="K12" s="156">
        <f>ROUND(J12*'RATES-Fed'!E38,0)</f>
        <v>0</v>
      </c>
      <c r="L12" s="67">
        <f aca="true" t="shared" si="3" ref="L12:L18">ROUND(K12+J12,0)</f>
        <v>0</v>
      </c>
      <c r="M12" s="187">
        <f aca="true" t="shared" si="4" ref="M12:M18">ROUND((J12*1.02),0)</f>
        <v>0</v>
      </c>
      <c r="N12" s="156">
        <f>ROUND(M12*'RATES-Fed'!G38,0)</f>
        <v>0</v>
      </c>
      <c r="O12" s="67">
        <f t="shared" si="1"/>
        <v>0</v>
      </c>
      <c r="P12" s="187">
        <f aca="true" t="shared" si="5" ref="P12:P18">ROUND((M12*1.02),0)</f>
        <v>0</v>
      </c>
      <c r="Q12" s="156">
        <f>ROUND(P12*'RATES-Fed'!I38,0)</f>
        <v>0</v>
      </c>
      <c r="R12" s="67">
        <f aca="true" t="shared" si="6" ref="R12:R18">SUM(P12:Q12)</f>
        <v>0</v>
      </c>
      <c r="S12" s="187">
        <f aca="true" t="shared" si="7" ref="S12:S18">ROUND((P12*1.02),0)</f>
        <v>0</v>
      </c>
      <c r="T12" s="156">
        <f>ROUND(S12*'RATES-Fed'!K38,0)</f>
        <v>0</v>
      </c>
      <c r="U12" s="67">
        <f aca="true" t="shared" si="8" ref="U12:U18">SUM(S12:T12)</f>
        <v>0</v>
      </c>
      <c r="V12" s="42">
        <f aca="true" t="shared" si="9" ref="V12:V18">SUM(L12+O12+R12+U12)</f>
        <v>0</v>
      </c>
      <c r="W12" s="1"/>
    </row>
    <row r="13" spans="1:23" ht="15.75">
      <c r="A13" s="1"/>
      <c r="B13" s="1" t="s">
        <v>15</v>
      </c>
      <c r="C13" s="3"/>
      <c r="D13" s="140" t="s">
        <v>131</v>
      </c>
      <c r="E13" s="70">
        <v>0</v>
      </c>
      <c r="F13" s="99">
        <f t="shared" si="0"/>
        <v>0</v>
      </c>
      <c r="G13" s="69">
        <v>0</v>
      </c>
      <c r="J13" s="187">
        <f t="shared" si="2"/>
        <v>0</v>
      </c>
      <c r="K13" s="156">
        <f>ROUND(J13*'RATES-Fed'!E38,0)</f>
        <v>0</v>
      </c>
      <c r="L13" s="67">
        <f t="shared" si="3"/>
        <v>0</v>
      </c>
      <c r="M13" s="187">
        <f t="shared" si="4"/>
        <v>0</v>
      </c>
      <c r="N13" s="156">
        <f>ROUND(M13*'RATES-Fed'!G38,0)</f>
        <v>0</v>
      </c>
      <c r="O13" s="67">
        <f t="shared" si="1"/>
        <v>0</v>
      </c>
      <c r="P13" s="187">
        <f t="shared" si="5"/>
        <v>0</v>
      </c>
      <c r="Q13" s="156">
        <f>ROUND(P13*'RATES-Fed'!I38,0)</f>
        <v>0</v>
      </c>
      <c r="R13" s="67">
        <f t="shared" si="6"/>
        <v>0</v>
      </c>
      <c r="S13" s="187">
        <f t="shared" si="7"/>
        <v>0</v>
      </c>
      <c r="T13" s="156">
        <f>ROUND(S13*'RATES-Fed'!K38,0)</f>
        <v>0</v>
      </c>
      <c r="U13" s="67">
        <f t="shared" si="8"/>
        <v>0</v>
      </c>
      <c r="V13" s="42">
        <f t="shared" si="9"/>
        <v>0</v>
      </c>
      <c r="W13" s="1"/>
    </row>
    <row r="14" spans="1:22" ht="15.75">
      <c r="A14" s="1"/>
      <c r="B14" s="1"/>
      <c r="C14" s="3"/>
      <c r="D14" s="140" t="str">
        <f>IF(D13="ACAD",("SUMR"),"")</f>
        <v>SUMR</v>
      </c>
      <c r="E14" s="70">
        <v>0</v>
      </c>
      <c r="F14" s="99">
        <f t="shared" si="0"/>
        <v>0</v>
      </c>
      <c r="G14" s="69">
        <f>+G13*0.4375</f>
        <v>0</v>
      </c>
      <c r="J14" s="187">
        <f t="shared" si="2"/>
        <v>0</v>
      </c>
      <c r="K14" s="156">
        <f>ROUND(J14*'RATES-Fed'!E38,0)</f>
        <v>0</v>
      </c>
      <c r="L14" s="67">
        <f t="shared" si="3"/>
        <v>0</v>
      </c>
      <c r="M14" s="187">
        <f t="shared" si="4"/>
        <v>0</v>
      </c>
      <c r="N14" s="156">
        <f>ROUND(M14*'RATES-Fed'!G38,0)</f>
        <v>0</v>
      </c>
      <c r="O14" s="67">
        <f t="shared" si="1"/>
        <v>0</v>
      </c>
      <c r="P14" s="187">
        <f t="shared" si="5"/>
        <v>0</v>
      </c>
      <c r="Q14" s="156">
        <f>ROUND(P14*'RATES-Fed'!I38,0)</f>
        <v>0</v>
      </c>
      <c r="R14" s="67">
        <f t="shared" si="6"/>
        <v>0</v>
      </c>
      <c r="S14" s="187">
        <f t="shared" si="7"/>
        <v>0</v>
      </c>
      <c r="T14" s="156">
        <f>ROUND(S14*'RATES-Fed'!K38,0)</f>
        <v>0</v>
      </c>
      <c r="U14" s="67">
        <f t="shared" si="8"/>
        <v>0</v>
      </c>
      <c r="V14" s="42">
        <f t="shared" si="9"/>
        <v>0</v>
      </c>
    </row>
    <row r="15" spans="1:23" ht="15.75">
      <c r="A15" s="1"/>
      <c r="B15" s="1" t="s">
        <v>15</v>
      </c>
      <c r="C15" s="3"/>
      <c r="D15" s="140" t="s">
        <v>131</v>
      </c>
      <c r="E15" s="70">
        <v>0</v>
      </c>
      <c r="F15" s="99">
        <f t="shared" si="0"/>
        <v>0</v>
      </c>
      <c r="G15" s="69">
        <v>0</v>
      </c>
      <c r="J15" s="187">
        <f t="shared" si="2"/>
        <v>0</v>
      </c>
      <c r="K15" s="156">
        <f>ROUND(J15*'RATES-Fed'!E38,0)</f>
        <v>0</v>
      </c>
      <c r="L15" s="67">
        <f t="shared" si="3"/>
        <v>0</v>
      </c>
      <c r="M15" s="187">
        <f t="shared" si="4"/>
        <v>0</v>
      </c>
      <c r="N15" s="156">
        <f>ROUND(M15*'RATES-Fed'!G38,0)</f>
        <v>0</v>
      </c>
      <c r="O15" s="67">
        <f t="shared" si="1"/>
        <v>0</v>
      </c>
      <c r="P15" s="187">
        <f t="shared" si="5"/>
        <v>0</v>
      </c>
      <c r="Q15" s="156">
        <f>ROUND(P15*'RATES-Fed'!I38,0)</f>
        <v>0</v>
      </c>
      <c r="R15" s="67">
        <f t="shared" si="6"/>
        <v>0</v>
      </c>
      <c r="S15" s="187">
        <f t="shared" si="7"/>
        <v>0</v>
      </c>
      <c r="T15" s="156">
        <f>ROUND(S15*'RATES-Fed'!K38,0)</f>
        <v>0</v>
      </c>
      <c r="U15" s="67">
        <f t="shared" si="8"/>
        <v>0</v>
      </c>
      <c r="V15" s="42">
        <f t="shared" si="9"/>
        <v>0</v>
      </c>
      <c r="W15" s="1"/>
    </row>
    <row r="16" spans="1:22" ht="15.75">
      <c r="A16" s="1"/>
      <c r="B16" s="1"/>
      <c r="C16" s="3"/>
      <c r="D16" s="140" t="str">
        <f>IF(D15="ACAD",("SUMR"),"")</f>
        <v>SUMR</v>
      </c>
      <c r="E16" s="70">
        <v>0</v>
      </c>
      <c r="F16" s="99">
        <f t="shared" si="0"/>
        <v>0</v>
      </c>
      <c r="G16" s="69">
        <f>+G15*0.4375</f>
        <v>0</v>
      </c>
      <c r="J16" s="187">
        <f t="shared" si="2"/>
        <v>0</v>
      </c>
      <c r="K16" s="156">
        <f>ROUND(J16*'RATES-Fed'!E38,0)</f>
        <v>0</v>
      </c>
      <c r="L16" s="67">
        <f t="shared" si="3"/>
        <v>0</v>
      </c>
      <c r="M16" s="187">
        <f t="shared" si="4"/>
        <v>0</v>
      </c>
      <c r="N16" s="156">
        <f>ROUND(M16*'RATES-Fed'!G38,0)</f>
        <v>0</v>
      </c>
      <c r="O16" s="67">
        <f t="shared" si="1"/>
        <v>0</v>
      </c>
      <c r="P16" s="187">
        <f t="shared" si="5"/>
        <v>0</v>
      </c>
      <c r="Q16" s="156">
        <f>ROUND(P16*'RATES-Fed'!I38,0)</f>
        <v>0</v>
      </c>
      <c r="R16" s="67">
        <f t="shared" si="6"/>
        <v>0</v>
      </c>
      <c r="S16" s="187">
        <f t="shared" si="7"/>
        <v>0</v>
      </c>
      <c r="T16" s="156">
        <f>ROUND(S16*'RATES-Fed'!K38,0)</f>
        <v>0</v>
      </c>
      <c r="U16" s="67">
        <f t="shared" si="8"/>
        <v>0</v>
      </c>
      <c r="V16" s="42">
        <f t="shared" si="9"/>
        <v>0</v>
      </c>
    </row>
    <row r="17" spans="1:23" ht="15.75">
      <c r="A17" s="1"/>
      <c r="B17" s="1" t="s">
        <v>15</v>
      </c>
      <c r="C17" s="3"/>
      <c r="D17" s="140" t="s">
        <v>130</v>
      </c>
      <c r="E17" s="70">
        <v>0</v>
      </c>
      <c r="F17" s="99">
        <f t="shared" si="0"/>
        <v>0</v>
      </c>
      <c r="G17" s="69">
        <v>0</v>
      </c>
      <c r="J17" s="187">
        <f t="shared" si="2"/>
        <v>0</v>
      </c>
      <c r="K17" s="156">
        <f>ROUND(J17*'RATES-Fed'!E38,0)</f>
        <v>0</v>
      </c>
      <c r="L17" s="285">
        <f t="shared" si="3"/>
        <v>0</v>
      </c>
      <c r="M17" s="193">
        <f t="shared" si="4"/>
        <v>0</v>
      </c>
      <c r="N17" s="286">
        <f>ROUND(M17*'RATES-Fed'!G38,0)</f>
        <v>0</v>
      </c>
      <c r="O17" s="285">
        <f t="shared" si="1"/>
        <v>0</v>
      </c>
      <c r="P17" s="193">
        <f t="shared" si="5"/>
        <v>0</v>
      </c>
      <c r="Q17" s="286">
        <f>ROUND(P17*'RATES-Fed'!I38,0)</f>
        <v>0</v>
      </c>
      <c r="R17" s="285">
        <f t="shared" si="6"/>
        <v>0</v>
      </c>
      <c r="S17" s="193">
        <f t="shared" si="7"/>
        <v>0</v>
      </c>
      <c r="T17" s="286">
        <f>ROUND(S17*'RATES-Fed'!K38,0)</f>
        <v>0</v>
      </c>
      <c r="U17" s="67">
        <f t="shared" si="8"/>
        <v>0</v>
      </c>
      <c r="V17" s="42">
        <f t="shared" si="9"/>
        <v>0</v>
      </c>
      <c r="W17" s="1"/>
    </row>
    <row r="18" spans="1:22" ht="15.75">
      <c r="A18" s="1"/>
      <c r="B18" s="1" t="s">
        <v>15</v>
      </c>
      <c r="C18" s="3"/>
      <c r="D18" s="140" t="s">
        <v>130</v>
      </c>
      <c r="E18" s="70">
        <v>0</v>
      </c>
      <c r="F18" s="99">
        <f t="shared" si="0"/>
        <v>0</v>
      </c>
      <c r="G18" s="69">
        <v>0</v>
      </c>
      <c r="J18" s="201">
        <f t="shared" si="2"/>
        <v>0</v>
      </c>
      <c r="K18" s="206">
        <f>ROUND(J18*'RATES-Fed'!E38,0)</f>
        <v>0</v>
      </c>
      <c r="L18" s="207">
        <f t="shared" si="3"/>
        <v>0</v>
      </c>
      <c r="M18" s="201">
        <f t="shared" si="4"/>
        <v>0</v>
      </c>
      <c r="N18" s="206">
        <f>ROUND(M18*'RATES-Fed'!G38,0)</f>
        <v>0</v>
      </c>
      <c r="O18" s="207">
        <f t="shared" si="1"/>
        <v>0</v>
      </c>
      <c r="P18" s="201">
        <f t="shared" si="5"/>
        <v>0</v>
      </c>
      <c r="Q18" s="206">
        <f>ROUND(P18*'RATES-Fed'!I38,0)</f>
        <v>0</v>
      </c>
      <c r="R18" s="207">
        <f t="shared" si="6"/>
        <v>0</v>
      </c>
      <c r="S18" s="201">
        <f t="shared" si="7"/>
        <v>0</v>
      </c>
      <c r="T18" s="206">
        <f>ROUND(S18*'RATES-Fed'!K38,0)</f>
        <v>0</v>
      </c>
      <c r="U18" s="207">
        <f t="shared" si="8"/>
        <v>0</v>
      </c>
      <c r="V18" s="204">
        <f t="shared" si="9"/>
        <v>0</v>
      </c>
    </row>
    <row r="19" spans="1:23" ht="15.75">
      <c r="A19" s="1"/>
      <c r="B19" s="1"/>
      <c r="C19" s="1"/>
      <c r="D19" s="25" t="s">
        <v>16</v>
      </c>
      <c r="E19" s="26"/>
      <c r="F19" s="26"/>
      <c r="G19" s="1"/>
      <c r="H19" s="1"/>
      <c r="I19" s="1"/>
      <c r="J19" s="205">
        <f aca="true" t="shared" si="10" ref="J19:V19">SUM(J11:J18)</f>
        <v>0</v>
      </c>
      <c r="K19" s="157">
        <f t="shared" si="10"/>
        <v>0</v>
      </c>
      <c r="L19" s="46">
        <f t="shared" si="10"/>
        <v>0</v>
      </c>
      <c r="M19" s="205">
        <f t="shared" si="10"/>
        <v>0</v>
      </c>
      <c r="N19" s="157">
        <f t="shared" si="10"/>
        <v>0</v>
      </c>
      <c r="O19" s="46">
        <f t="shared" si="10"/>
        <v>0</v>
      </c>
      <c r="P19" s="205">
        <f t="shared" si="10"/>
        <v>0</v>
      </c>
      <c r="Q19" s="157">
        <f t="shared" si="10"/>
        <v>0</v>
      </c>
      <c r="R19" s="46">
        <f t="shared" si="10"/>
        <v>0</v>
      </c>
      <c r="S19" s="205">
        <f t="shared" si="10"/>
        <v>0</v>
      </c>
      <c r="T19" s="157">
        <f t="shared" si="10"/>
        <v>0</v>
      </c>
      <c r="U19" s="46">
        <f t="shared" si="10"/>
        <v>0</v>
      </c>
      <c r="V19" s="42">
        <f t="shared" si="10"/>
        <v>0</v>
      </c>
      <c r="W19" s="6"/>
    </row>
    <row r="20" spans="1:21" ht="15.75">
      <c r="A20" s="21" t="s">
        <v>274</v>
      </c>
      <c r="B20" s="21" t="s">
        <v>275</v>
      </c>
      <c r="C20" s="1"/>
      <c r="D20" s="25"/>
      <c r="E20" s="26"/>
      <c r="F20" s="26"/>
      <c r="G20" s="1"/>
      <c r="H20" s="1"/>
      <c r="I20" s="1"/>
      <c r="J20" s="205"/>
      <c r="K20" s="157"/>
      <c r="L20" s="46"/>
      <c r="M20" s="42"/>
      <c r="N20" s="6"/>
      <c r="O20"/>
      <c r="Q20"/>
      <c r="R20"/>
      <c r="T20"/>
      <c r="U20"/>
    </row>
    <row r="21" spans="1:22" ht="15.75">
      <c r="A21" s="1"/>
      <c r="B21" s="1" t="s">
        <v>15</v>
      </c>
      <c r="C21" s="3"/>
      <c r="D21" s="140" t="s">
        <v>130</v>
      </c>
      <c r="E21" s="70">
        <v>0</v>
      </c>
      <c r="F21" s="99">
        <f>IF(D21="CAL",(52*E21/4.3333),(IF(D21="ACAD",(32*E21/4.33333),IF(D21="SUMR",(14*E21/4.33333),IF(D21="PT",(0),0)))))</f>
        <v>0</v>
      </c>
      <c r="G21" s="69">
        <v>0</v>
      </c>
      <c r="J21" s="187">
        <f>ROUND(G21*E21,0)</f>
        <v>0</v>
      </c>
      <c r="K21" s="156">
        <f>ROUND(J21*'RATES-Fed'!E40,0)</f>
        <v>0</v>
      </c>
      <c r="L21" s="67">
        <f>ROUND(K21+J21,0)</f>
        <v>0</v>
      </c>
      <c r="M21" s="187">
        <f>ROUND((J21*1.02),0)</f>
        <v>0</v>
      </c>
      <c r="N21" s="156">
        <f>ROUND(M21*'RATES-Fed'!G40,0)</f>
        <v>0</v>
      </c>
      <c r="O21" s="67">
        <f>ROUND(M21+N21,0)</f>
        <v>0</v>
      </c>
      <c r="P21" s="187">
        <f>ROUND((M21*1.02),0)</f>
        <v>0</v>
      </c>
      <c r="Q21" s="156">
        <f>ROUND(P21*'RATES-Fed'!I40,0)</f>
        <v>0</v>
      </c>
      <c r="R21" s="67">
        <f>ROUND(P21+Q21,0)</f>
        <v>0</v>
      </c>
      <c r="S21" s="187">
        <f>ROUND((P21*1.02),0)</f>
        <v>0</v>
      </c>
      <c r="T21" s="156">
        <f>ROUND(S21*'RATES-Fed'!K40,0)</f>
        <v>0</v>
      </c>
      <c r="U21" s="76">
        <f>SUM(S21:T21)</f>
        <v>0</v>
      </c>
      <c r="V21" s="42">
        <f>SUM(L21+O21+R21+U21)</f>
        <v>0</v>
      </c>
    </row>
    <row r="22" spans="1:22" ht="15.75">
      <c r="A22" s="1"/>
      <c r="B22" s="1" t="s">
        <v>15</v>
      </c>
      <c r="C22" s="3"/>
      <c r="D22" s="140" t="s">
        <v>130</v>
      </c>
      <c r="E22" s="70">
        <v>0</v>
      </c>
      <c r="F22" s="99">
        <f>IF(D22="CAL",(52*E22/4.3333),(IF(D22="ACAD",(32*E22/4.33333),IF(D22="SUMR",(14*E22/4.33333),IF(D22="PT",(0),0)))))</f>
        <v>0</v>
      </c>
      <c r="G22" s="69">
        <v>0</v>
      </c>
      <c r="J22" s="187">
        <f>ROUND(G22*E22,0)</f>
        <v>0</v>
      </c>
      <c r="K22" s="156">
        <f>ROUND(J22*'RATES-Fed'!E40,0)</f>
        <v>0</v>
      </c>
      <c r="L22" s="67">
        <f>ROUND(K22+J22,0)</f>
        <v>0</v>
      </c>
      <c r="M22" s="187">
        <f>ROUND((J22*1.02),0)</f>
        <v>0</v>
      </c>
      <c r="N22" s="156">
        <f>ROUND(M22*'RATES-Fed'!G40,0)</f>
        <v>0</v>
      </c>
      <c r="O22" s="67">
        <f>ROUND(M22+N22,0)</f>
        <v>0</v>
      </c>
      <c r="P22" s="187">
        <f>ROUND((M22*1.02),0)</f>
        <v>0</v>
      </c>
      <c r="Q22" s="156">
        <f>ROUND(P22*'RATES-Fed'!I40,0)</f>
        <v>0</v>
      </c>
      <c r="R22" s="67">
        <f>ROUND(P22+Q22,0)</f>
        <v>0</v>
      </c>
      <c r="S22" s="187">
        <f>ROUND((P22*1.02),0)</f>
        <v>0</v>
      </c>
      <c r="T22" s="156">
        <f>ROUND(S22*'RATES-Fed'!K40,0)</f>
        <v>0</v>
      </c>
      <c r="U22" s="76">
        <f>SUM(S22:T22)</f>
        <v>0</v>
      </c>
      <c r="V22" s="42">
        <f>SUM(L22+O22+R22+U22)</f>
        <v>0</v>
      </c>
    </row>
    <row r="23" spans="1:22" ht="15.75">
      <c r="A23" s="1"/>
      <c r="B23" s="1" t="s">
        <v>15</v>
      </c>
      <c r="C23" s="3"/>
      <c r="D23" s="140" t="s">
        <v>130</v>
      </c>
      <c r="E23" s="70">
        <v>0</v>
      </c>
      <c r="F23" s="99">
        <f>IF(D23="CAL",(52*E23/4.3333),(IF(D23="ACAD",(32*E23/4.33333),IF(D23="SUMR",(14*E23/4.33333),IF(D23="PT",(0),0)))))</f>
        <v>0</v>
      </c>
      <c r="G23" s="69">
        <v>0</v>
      </c>
      <c r="J23" s="187">
        <f>ROUND(G23*E23,0)</f>
        <v>0</v>
      </c>
      <c r="K23" s="156">
        <f>ROUND(J23*'RATES-Fed'!E40,0)</f>
        <v>0</v>
      </c>
      <c r="L23" s="67">
        <f>ROUND(K23+J23,0)</f>
        <v>0</v>
      </c>
      <c r="M23" s="187">
        <f>ROUND((J23*1.02),0)</f>
        <v>0</v>
      </c>
      <c r="N23" s="156">
        <f>ROUND(M23*'RATES-Fed'!G40,0)</f>
        <v>0</v>
      </c>
      <c r="O23" s="67">
        <f>ROUND(M23+N23,0)</f>
        <v>0</v>
      </c>
      <c r="P23" s="187">
        <f>ROUND((M23*1.02),0)</f>
        <v>0</v>
      </c>
      <c r="Q23" s="156">
        <f>ROUND(P23*'RATES-Fed'!I40,0)</f>
        <v>0</v>
      </c>
      <c r="R23" s="67">
        <f>ROUND(P23+Q23,0)</f>
        <v>0</v>
      </c>
      <c r="S23" s="187">
        <f>ROUND((P23*1.02),0)</f>
        <v>0</v>
      </c>
      <c r="T23" s="156">
        <f>ROUND(S23*'RATES-Fed'!K40,0)</f>
        <v>0</v>
      </c>
      <c r="U23" s="76">
        <f>SUM(S23:T23)</f>
        <v>0</v>
      </c>
      <c r="V23" s="42">
        <f>SUM(L23+O23+R23+U23)</f>
        <v>0</v>
      </c>
    </row>
    <row r="24" spans="1:22" ht="15.75">
      <c r="A24" s="1"/>
      <c r="B24" s="1" t="s">
        <v>15</v>
      </c>
      <c r="C24" s="3"/>
      <c r="D24" s="140" t="s">
        <v>130</v>
      </c>
      <c r="E24" s="70">
        <v>0</v>
      </c>
      <c r="F24" s="99">
        <f>IF(D24="CAL",(52*E24/4.3333),(IF(D24="ACAD",(32*E24/4.33333),IF(D24="SUMR",(14*E24/4.33333),IF(D24="PT",(0),0)))))</f>
        <v>0</v>
      </c>
      <c r="G24" s="69">
        <v>0</v>
      </c>
      <c r="J24" s="187">
        <f>ROUND(G24*E24,0)</f>
        <v>0</v>
      </c>
      <c r="K24" s="206">
        <f>ROUND(J24*'RATES-Fed'!E40,0)</f>
        <v>0</v>
      </c>
      <c r="L24" s="207">
        <f>ROUND(K24+J24,0)</f>
        <v>0</v>
      </c>
      <c r="M24" s="201">
        <f>ROUND((J24*1.02),0)</f>
        <v>0</v>
      </c>
      <c r="N24" s="206">
        <f>ROUND(M24*'RATES-Fed'!G40,0)</f>
        <v>0</v>
      </c>
      <c r="O24" s="207">
        <f>ROUND(M24+N24,0)</f>
        <v>0</v>
      </c>
      <c r="P24" s="201">
        <f>ROUND((M24*1.02),0)</f>
        <v>0</v>
      </c>
      <c r="Q24" s="206">
        <f>ROUND(P24*'RATES-Fed'!I40,0)</f>
        <v>0</v>
      </c>
      <c r="R24" s="207">
        <f>ROUND(P24+Q24,0)</f>
        <v>0</v>
      </c>
      <c r="S24" s="201">
        <f>ROUND((P24*1.02),0)</f>
        <v>0</v>
      </c>
      <c r="T24" s="206">
        <f>ROUND(S24*'RATES-Fed'!K40,0)</f>
        <v>0</v>
      </c>
      <c r="U24" s="287">
        <f>SUM(S24:T24)</f>
        <v>0</v>
      </c>
      <c r="V24" s="204">
        <f>SUM(L24+O24+R24+U24)</f>
        <v>0</v>
      </c>
    </row>
    <row r="25" spans="1:22" ht="15.75">
      <c r="A25" s="1"/>
      <c r="B25" s="1"/>
      <c r="C25" s="1"/>
      <c r="D25" s="25" t="s">
        <v>279</v>
      </c>
      <c r="E25" s="26"/>
      <c r="F25" s="26"/>
      <c r="G25" s="1"/>
      <c r="H25" s="1"/>
      <c r="I25" s="1"/>
      <c r="J25" s="191">
        <f aca="true" t="shared" si="11" ref="J25:T25">SUM(J21:J24)</f>
        <v>0</v>
      </c>
      <c r="K25" s="157">
        <f t="shared" si="11"/>
        <v>0</v>
      </c>
      <c r="L25" s="46">
        <f t="shared" si="11"/>
        <v>0</v>
      </c>
      <c r="M25" s="76">
        <f t="shared" si="11"/>
        <v>0</v>
      </c>
      <c r="N25" s="6">
        <f t="shared" si="11"/>
        <v>0</v>
      </c>
      <c r="O25" s="76">
        <f t="shared" si="11"/>
        <v>0</v>
      </c>
      <c r="P25" s="42">
        <f t="shared" si="11"/>
        <v>0</v>
      </c>
      <c r="Q25" s="42">
        <f t="shared" si="11"/>
        <v>0</v>
      </c>
      <c r="R25" s="76">
        <f t="shared" si="11"/>
        <v>0</v>
      </c>
      <c r="S25" s="42">
        <f t="shared" si="11"/>
        <v>0</v>
      </c>
      <c r="T25" s="42">
        <f t="shared" si="11"/>
        <v>0</v>
      </c>
      <c r="U25"/>
      <c r="V25" s="42">
        <f>SUM(V21:V24)</f>
        <v>0</v>
      </c>
    </row>
    <row r="26" spans="1:22" ht="7.5" customHeight="1">
      <c r="A26" s="1"/>
      <c r="B26" s="1"/>
      <c r="C26" s="1"/>
      <c r="D26" s="26"/>
      <c r="E26" s="26"/>
      <c r="F26" s="26"/>
      <c r="G26" s="1"/>
      <c r="H26" s="1"/>
      <c r="I26" s="1"/>
      <c r="J26" s="192"/>
      <c r="K26" s="157"/>
      <c r="L26" s="46"/>
      <c r="M26" s="186"/>
      <c r="N26" s="157"/>
      <c r="O26" s="46"/>
      <c r="P26" s="186"/>
      <c r="Q26" s="157"/>
      <c r="R26" s="46"/>
      <c r="T26" s="6"/>
      <c r="U26"/>
      <c r="V26" s="42"/>
    </row>
    <row r="27" spans="1:22" ht="15.75">
      <c r="A27" s="22" t="s">
        <v>276</v>
      </c>
      <c r="B27" s="22" t="s">
        <v>17</v>
      </c>
      <c r="C27" s="1"/>
      <c r="D27" s="26"/>
      <c r="E27" s="1"/>
      <c r="F27" s="1"/>
      <c r="G27" s="41"/>
      <c r="H27" s="1"/>
      <c r="I27" s="1"/>
      <c r="J27" s="190"/>
      <c r="K27" s="153"/>
      <c r="L27" s="143"/>
      <c r="M27" s="190"/>
      <c r="N27" s="157"/>
      <c r="O27" s="46"/>
      <c r="P27" s="190"/>
      <c r="Q27" s="157"/>
      <c r="R27" s="46"/>
      <c r="T27" s="6"/>
      <c r="U27"/>
      <c r="V27" s="42"/>
    </row>
    <row r="28" spans="1:22" ht="15.75">
      <c r="A28" s="1"/>
      <c r="C28" s="13" t="s">
        <v>88</v>
      </c>
      <c r="D28" s="41" t="s">
        <v>127</v>
      </c>
      <c r="E28" s="68"/>
      <c r="F28" s="68"/>
      <c r="G28" s="59"/>
      <c r="J28" s="187"/>
      <c r="K28" s="274"/>
      <c r="L28" s="50"/>
      <c r="M28" s="187"/>
      <c r="N28" s="275"/>
      <c r="O28" s="148"/>
      <c r="P28" s="187"/>
      <c r="Q28" s="275"/>
      <c r="R28" s="148"/>
      <c r="T28" s="5"/>
      <c r="U28"/>
      <c r="V28" s="42"/>
    </row>
    <row r="29" spans="1:22" ht="15.75">
      <c r="A29" s="1"/>
      <c r="C29" s="13"/>
      <c r="D29" s="97"/>
      <c r="E29" s="70">
        <v>0</v>
      </c>
      <c r="F29" s="98">
        <f>SUM(52*E29/4.33)</f>
        <v>0</v>
      </c>
      <c r="G29" s="69">
        <v>0</v>
      </c>
      <c r="J29" s="187">
        <f>ROUND(G29*E29,0)</f>
        <v>0</v>
      </c>
      <c r="K29" s="274">
        <f>ROUND(J29*'RATES-Fed'!E39,0)</f>
        <v>0</v>
      </c>
      <c r="L29" s="50">
        <f>SUM(J29:K29)</f>
        <v>0</v>
      </c>
      <c r="M29" s="187">
        <f>ROUND(J29*1.02,0)</f>
        <v>0</v>
      </c>
      <c r="N29" s="274">
        <f>ROUND(M29*'RATES-Fed'!G39,0)</f>
        <v>0</v>
      </c>
      <c r="O29" s="50">
        <f>SUM(M29:N29)</f>
        <v>0</v>
      </c>
      <c r="P29" s="187">
        <f>ROUND(M29*1.02,0)</f>
        <v>0</v>
      </c>
      <c r="Q29" s="274">
        <f>ROUND(P29*'RATES-Fed'!I39,0)</f>
        <v>0</v>
      </c>
      <c r="R29" s="50">
        <f>SUM(P29:Q29)</f>
        <v>0</v>
      </c>
      <c r="S29" s="187">
        <f>ROUND(P29*1.02,0)</f>
        <v>0</v>
      </c>
      <c r="T29" s="274">
        <f>ROUND(S29*'RATES-Fed'!K39,0)</f>
        <v>0</v>
      </c>
      <c r="U29" s="50">
        <f>SUM(S29:T29)</f>
        <v>0</v>
      </c>
      <c r="V29" s="42">
        <f>SUM(L29+O29+R29+U29)</f>
        <v>0</v>
      </c>
    </row>
    <row r="30" spans="1:22" ht="15.75">
      <c r="A30" s="1"/>
      <c r="C30" s="13"/>
      <c r="D30" s="1"/>
      <c r="E30" s="70">
        <v>0</v>
      </c>
      <c r="F30" s="98">
        <f>SUM(52*E30/4.33)</f>
        <v>0</v>
      </c>
      <c r="G30" s="69">
        <v>0</v>
      </c>
      <c r="J30" s="187">
        <f>ROUND(G30*E30,0)</f>
        <v>0</v>
      </c>
      <c r="K30" s="274">
        <f>ROUND(J30*'RATES-Fed'!E39,0)</f>
        <v>0</v>
      </c>
      <c r="L30" s="50">
        <f>SUM(J30:K30)</f>
        <v>0</v>
      </c>
      <c r="M30" s="187">
        <f>ROUND(J30*1.02,0)</f>
        <v>0</v>
      </c>
      <c r="N30" s="274">
        <f>ROUND(M30*'RATES-Fed'!G39,0)</f>
        <v>0</v>
      </c>
      <c r="O30" s="50">
        <f>SUM(M30:N30)</f>
        <v>0</v>
      </c>
      <c r="P30" s="187">
        <f>ROUND(M30*1.02,0)</f>
        <v>0</v>
      </c>
      <c r="Q30" s="274">
        <f>ROUND(P30*'RATES-Fed'!I39,0)</f>
        <v>0</v>
      </c>
      <c r="R30" s="50">
        <f>SUM(P30:Q30)</f>
        <v>0</v>
      </c>
      <c r="S30" s="187">
        <f>ROUND(P30*1.02,0)</f>
        <v>0</v>
      </c>
      <c r="T30" s="274">
        <f>ROUND(S30*'RATES-Fed'!K39,0)</f>
        <v>0</v>
      </c>
      <c r="U30" s="50">
        <f>SUM(S30:T30)</f>
        <v>0</v>
      </c>
      <c r="V30" s="42">
        <f>SUM(L30+O30+R30+U30)</f>
        <v>0</v>
      </c>
    </row>
    <row r="31" spans="1:22" ht="15.75">
      <c r="A31" s="1"/>
      <c r="C31" s="13"/>
      <c r="D31" s="1"/>
      <c r="E31" s="70">
        <v>0</v>
      </c>
      <c r="F31" s="98">
        <f>SUM(52*E31/4.33)</f>
        <v>0</v>
      </c>
      <c r="G31" s="69">
        <v>0</v>
      </c>
      <c r="J31" s="201">
        <f>ROUND(G31*E31,0)</f>
        <v>0</v>
      </c>
      <c r="K31" s="202">
        <f>ROUND(J31*'RATES-Fed'!E39,0)</f>
        <v>0</v>
      </c>
      <c r="L31" s="203">
        <f>SUM(J31:K31)</f>
        <v>0</v>
      </c>
      <c r="M31" s="201">
        <f>ROUND(J31*1.02,0)</f>
        <v>0</v>
      </c>
      <c r="N31" s="202">
        <f>ROUND(M31*'RATES-Fed'!G39,0)</f>
        <v>0</v>
      </c>
      <c r="O31" s="203">
        <f>SUM(M31:N31)</f>
        <v>0</v>
      </c>
      <c r="P31" s="201">
        <f>ROUND(M31*1.02,0)</f>
        <v>0</v>
      </c>
      <c r="Q31" s="202">
        <f>ROUND(P31*'RATES-Fed'!I39,0)</f>
        <v>0</v>
      </c>
      <c r="R31" s="203">
        <f>SUM(P31:Q31)</f>
        <v>0</v>
      </c>
      <c r="S31" s="201">
        <f>ROUND(P31*1.02,0)</f>
        <v>0</v>
      </c>
      <c r="T31" s="202">
        <f>ROUND(S31*'RATES-Fed'!K39,0)</f>
        <v>0</v>
      </c>
      <c r="U31" s="203">
        <f>SUM(S31:T31)</f>
        <v>0</v>
      </c>
      <c r="V31" s="204">
        <f>SUM(L31+O31+R31+U31)</f>
        <v>0</v>
      </c>
    </row>
    <row r="32" spans="1:22" ht="15.75">
      <c r="A32" s="1"/>
      <c r="C32" s="13"/>
      <c r="D32" s="1" t="s">
        <v>128</v>
      </c>
      <c r="E32" s="70"/>
      <c r="F32" s="70"/>
      <c r="G32" s="69"/>
      <c r="J32" s="193">
        <f aca="true" t="shared" si="12" ref="J32:R32">SUM(J29:J31)</f>
        <v>0</v>
      </c>
      <c r="K32" s="274">
        <f t="shared" si="12"/>
        <v>0</v>
      </c>
      <c r="L32" s="50">
        <f t="shared" si="12"/>
        <v>0</v>
      </c>
      <c r="M32" s="193">
        <f t="shared" si="12"/>
        <v>0</v>
      </c>
      <c r="N32" s="275">
        <f t="shared" si="12"/>
        <v>0</v>
      </c>
      <c r="O32" s="148">
        <f t="shared" si="12"/>
        <v>0</v>
      </c>
      <c r="P32" s="193">
        <f t="shared" si="12"/>
        <v>0</v>
      </c>
      <c r="Q32" s="275">
        <f t="shared" si="12"/>
        <v>0</v>
      </c>
      <c r="R32" s="148">
        <f t="shared" si="12"/>
        <v>0</v>
      </c>
      <c r="S32" s="193">
        <f>SUM(S29:S31)</f>
        <v>0</v>
      </c>
      <c r="T32" s="275">
        <f>SUM(T29:T31)</f>
        <v>0</v>
      </c>
      <c r="U32" s="148">
        <f>SUM(U29:U31)</f>
        <v>0</v>
      </c>
      <c r="V32" s="42">
        <f>SUM(V29:V31)</f>
        <v>0</v>
      </c>
    </row>
    <row r="33" spans="1:22" ht="9.75" customHeight="1">
      <c r="A33" s="1"/>
      <c r="C33" s="13"/>
      <c r="D33" s="1"/>
      <c r="E33" s="70"/>
      <c r="F33" s="70"/>
      <c r="G33" s="69"/>
      <c r="J33" s="193"/>
      <c r="K33" s="274"/>
      <c r="L33" s="50"/>
      <c r="M33" s="193"/>
      <c r="N33" s="275"/>
      <c r="O33" s="148"/>
      <c r="P33" s="193"/>
      <c r="Q33" s="275"/>
      <c r="R33" s="148"/>
      <c r="T33" s="5"/>
      <c r="U33"/>
      <c r="V33" s="42"/>
    </row>
    <row r="34" spans="1:22" ht="15.75">
      <c r="A34" s="1"/>
      <c r="C34" s="13" t="s">
        <v>89</v>
      </c>
      <c r="D34" s="1"/>
      <c r="E34" s="70">
        <v>0</v>
      </c>
      <c r="F34" s="98">
        <f>SUM(52*E34/4.33)</f>
        <v>0</v>
      </c>
      <c r="G34" s="69">
        <v>0</v>
      </c>
      <c r="J34" s="187">
        <f>ROUND(G34*E34,0)</f>
        <v>0</v>
      </c>
      <c r="K34" s="274">
        <f>ROUND(J34*'RATES-Fed'!E43,0)</f>
        <v>0</v>
      </c>
      <c r="L34" s="50">
        <f>SUM(J34:K34)</f>
        <v>0</v>
      </c>
      <c r="M34" s="187">
        <f>ROUND((J34*1.02),0)</f>
        <v>0</v>
      </c>
      <c r="N34" s="274">
        <f>ROUND(M34*'RATES-Fed'!G43,0)</f>
        <v>0</v>
      </c>
      <c r="O34" s="50">
        <f>SUM(M34:N34)</f>
        <v>0</v>
      </c>
      <c r="P34" s="187">
        <f>ROUND((M34*1.02),0)</f>
        <v>0</v>
      </c>
      <c r="Q34" s="274">
        <f>ROUND(P34*'RATES-Fed'!I43,0)</f>
        <v>0</v>
      </c>
      <c r="R34" s="50">
        <f>SUM(P34:Q34)</f>
        <v>0</v>
      </c>
      <c r="S34" s="187">
        <f>ROUND((P34*1.02),0)</f>
        <v>0</v>
      </c>
      <c r="T34" s="274">
        <f>ROUND(S34*'RATES-Fed'!K43,0)</f>
        <v>0</v>
      </c>
      <c r="U34" s="50">
        <f>SUM(S34:T34)</f>
        <v>0</v>
      </c>
      <c r="V34" s="42">
        <f>SUM(L34+O34+R34+U34)</f>
        <v>0</v>
      </c>
    </row>
    <row r="35" spans="1:22" ht="15.75">
      <c r="A35" s="1"/>
      <c r="C35" s="13" t="s">
        <v>18</v>
      </c>
      <c r="D35" s="1"/>
      <c r="E35" s="70">
        <v>0</v>
      </c>
      <c r="F35" s="98">
        <f>SUM(52*E35/4.33)</f>
        <v>0</v>
      </c>
      <c r="G35" s="69">
        <v>0</v>
      </c>
      <c r="J35" s="187">
        <f>ROUND(G35*E35,0)</f>
        <v>0</v>
      </c>
      <c r="K35" s="274">
        <f>ROUND(J35*'RATES-Fed'!E42,0)</f>
        <v>0</v>
      </c>
      <c r="L35" s="50">
        <f>SUM(J35:K35)</f>
        <v>0</v>
      </c>
      <c r="M35" s="187">
        <f>ROUND((J35*1.02),0)</f>
        <v>0</v>
      </c>
      <c r="N35" s="274">
        <f>ROUND(M35*'RATES-Fed'!G42,0)</f>
        <v>0</v>
      </c>
      <c r="O35" s="50">
        <f>SUM(M35:N35)</f>
        <v>0</v>
      </c>
      <c r="P35" s="187">
        <f>ROUND((M35*1.02),0)</f>
        <v>0</v>
      </c>
      <c r="Q35" s="274">
        <f>ROUND(P35*'RATES-Fed'!I42,0)</f>
        <v>0</v>
      </c>
      <c r="R35" s="50">
        <f>SUM(P35:Q35)</f>
        <v>0</v>
      </c>
      <c r="S35" s="187">
        <f>ROUND((P35*1.02),0)</f>
        <v>0</v>
      </c>
      <c r="T35" s="274">
        <f>ROUND(S35*'RATES-Fed'!K42,0)</f>
        <v>0</v>
      </c>
      <c r="U35" s="50">
        <f>SUM(S35:T35)</f>
        <v>0</v>
      </c>
      <c r="V35" s="42">
        <f>SUM(L35+O35+R35+U35)</f>
        <v>0</v>
      </c>
    </row>
    <row r="36" spans="1:22" ht="15.75">
      <c r="A36" s="1"/>
      <c r="C36" s="13" t="s">
        <v>19</v>
      </c>
      <c r="D36" s="1"/>
      <c r="E36" s="70">
        <v>0</v>
      </c>
      <c r="F36" s="98">
        <f>SUM(52*E36/4.33)</f>
        <v>0</v>
      </c>
      <c r="G36" s="69">
        <v>0</v>
      </c>
      <c r="J36" s="187">
        <f>ROUND(G36*E36,0)</f>
        <v>0</v>
      </c>
      <c r="K36" s="274">
        <f>ROUND(J36*'RATES-Fed'!E42,0)</f>
        <v>0</v>
      </c>
      <c r="L36" s="50">
        <f>SUM(J36:K36)</f>
        <v>0</v>
      </c>
      <c r="M36" s="187">
        <f>ROUND((J36*1.02),0)</f>
        <v>0</v>
      </c>
      <c r="N36" s="274">
        <f>ROUND(M36*'RATES-Fed'!G42,0)</f>
        <v>0</v>
      </c>
      <c r="O36" s="50">
        <f>SUM(M36:N36)</f>
        <v>0</v>
      </c>
      <c r="P36" s="187">
        <f>ROUND((M36*1.02),0)</f>
        <v>0</v>
      </c>
      <c r="Q36" s="274">
        <f>ROUND(P36*'RATES-Fed'!I42,0)</f>
        <v>0</v>
      </c>
      <c r="R36" s="50">
        <f>SUM(P36:Q36)</f>
        <v>0</v>
      </c>
      <c r="S36" s="187">
        <f>ROUND((P36*1.02),0)</f>
        <v>0</v>
      </c>
      <c r="T36" s="274">
        <f>ROUND(S36*'RATES-Fed'!K42,0)</f>
        <v>0</v>
      </c>
      <c r="U36" s="50">
        <f>SUM(S36:T36)</f>
        <v>0</v>
      </c>
      <c r="V36" s="42">
        <f>SUM(L36+O36+R36+U36)</f>
        <v>0</v>
      </c>
    </row>
    <row r="37" spans="1:22" s="94" customFormat="1" ht="15.75">
      <c r="A37" s="143"/>
      <c r="C37" s="142" t="s">
        <v>20</v>
      </c>
      <c r="D37" s="143"/>
      <c r="E37" s="70">
        <v>0</v>
      </c>
      <c r="F37" s="98">
        <f>SUM(52*E37/4.33)</f>
        <v>0</v>
      </c>
      <c r="G37" s="69">
        <v>0</v>
      </c>
      <c r="J37" s="187">
        <f>ROUND(G37*E37,0)</f>
        <v>0</v>
      </c>
      <c r="K37" s="274">
        <f>ROUND(J37*'RATES-Fed'!E43,0)</f>
        <v>0</v>
      </c>
      <c r="L37" s="50">
        <f>SUM(J37:K37)</f>
        <v>0</v>
      </c>
      <c r="M37" s="187">
        <f>ROUND((J37*1.02),0)</f>
        <v>0</v>
      </c>
      <c r="N37" s="274">
        <f>ROUND(M37*'RATES-Fed'!G43,0)</f>
        <v>0</v>
      </c>
      <c r="O37" s="50">
        <f>SUM(M37:N37)</f>
        <v>0</v>
      </c>
      <c r="P37" s="187">
        <f>ROUND((M37*1.02),0)</f>
        <v>0</v>
      </c>
      <c r="Q37" s="274">
        <f>ROUND(P37*'RATES-Fed'!I43,0)</f>
        <v>0</v>
      </c>
      <c r="R37" s="50">
        <f>SUM(P37:Q37)</f>
        <v>0</v>
      </c>
      <c r="S37" s="187">
        <f>ROUND((P37*1.02),0)</f>
        <v>0</v>
      </c>
      <c r="T37" s="274">
        <f>ROUND(S37*'RATES-Fed'!K43,0)</f>
        <v>0</v>
      </c>
      <c r="U37" s="50">
        <f>SUM(S37:T37)</f>
        <v>0</v>
      </c>
      <c r="V37" s="42">
        <f>SUM(L37+O37+R37+U37)</f>
        <v>0</v>
      </c>
    </row>
    <row r="38" spans="1:23" s="94" customFormat="1" ht="15.75">
      <c r="A38" s="143"/>
      <c r="C38" s="142" t="s">
        <v>90</v>
      </c>
      <c r="D38" s="143"/>
      <c r="E38" s="70">
        <v>0</v>
      </c>
      <c r="F38" s="98">
        <f>SUM(52*E38/4.33)</f>
        <v>0</v>
      </c>
      <c r="G38" s="69">
        <v>0</v>
      </c>
      <c r="J38" s="201">
        <f>ROUND(G38*E38,0)</f>
        <v>0</v>
      </c>
      <c r="K38" s="202">
        <f>ROUND(J38*'RATES-Fed'!E41,0)</f>
        <v>0</v>
      </c>
      <c r="L38" s="203">
        <f>SUM(J38:K38)</f>
        <v>0</v>
      </c>
      <c r="M38" s="201">
        <f>ROUND((J38*1.02),0)</f>
        <v>0</v>
      </c>
      <c r="N38" s="209">
        <f>ROUND(M38*'RATES-Fed'!G41,0)</f>
        <v>0</v>
      </c>
      <c r="O38" s="203">
        <f>SUM(M38:N38)</f>
        <v>0</v>
      </c>
      <c r="P38" s="201">
        <f>ROUND((M38*1.02),0)</f>
        <v>0</v>
      </c>
      <c r="Q38" s="209">
        <f>ROUND(P38*'RATES-Fed'!I41,0)</f>
        <v>0</v>
      </c>
      <c r="R38" s="203">
        <f>SUM(P38:Q38)</f>
        <v>0</v>
      </c>
      <c r="S38" s="201">
        <f>ROUND((P38*1.02),0)</f>
        <v>0</v>
      </c>
      <c r="T38" s="209">
        <f>ROUND(S38*'RATES-Fed'!K41,0)</f>
        <v>0</v>
      </c>
      <c r="U38" s="203">
        <f>SUM(S38:T38)</f>
        <v>0</v>
      </c>
      <c r="V38" s="204">
        <f>SUM(L38+O38+R38+U38)</f>
        <v>0</v>
      </c>
      <c r="W38" s="288"/>
    </row>
    <row r="39" spans="1:22" ht="15.75">
      <c r="A39" s="1"/>
      <c r="B39" s="1"/>
      <c r="C39" s="1"/>
      <c r="D39" s="188" t="s">
        <v>213</v>
      </c>
      <c r="E39" s="26"/>
      <c r="F39" s="26"/>
      <c r="G39" s="1"/>
      <c r="H39" s="1"/>
      <c r="I39" s="1"/>
      <c r="J39" s="208">
        <f aca="true" t="shared" si="13" ref="J39:U39">SUM(J19+J25+J32+J34+J35+J36+J37+J38)</f>
        <v>0</v>
      </c>
      <c r="K39" s="274">
        <f t="shared" si="13"/>
        <v>0</v>
      </c>
      <c r="L39" s="50">
        <f t="shared" si="13"/>
        <v>0</v>
      </c>
      <c r="M39" s="208">
        <f t="shared" si="13"/>
        <v>0</v>
      </c>
      <c r="N39" s="274">
        <f t="shared" si="13"/>
        <v>0</v>
      </c>
      <c r="O39" s="50">
        <f t="shared" si="13"/>
        <v>0</v>
      </c>
      <c r="P39" s="208">
        <f t="shared" si="13"/>
        <v>0</v>
      </c>
      <c r="Q39" s="274">
        <f t="shared" si="13"/>
        <v>0</v>
      </c>
      <c r="R39" s="50">
        <f t="shared" si="13"/>
        <v>0</v>
      </c>
      <c r="S39" s="208">
        <f t="shared" si="13"/>
        <v>0</v>
      </c>
      <c r="T39" s="274">
        <f t="shared" si="13"/>
        <v>0</v>
      </c>
      <c r="U39" s="50">
        <f t="shared" si="13"/>
        <v>0</v>
      </c>
      <c r="V39" s="42">
        <f>SUM(V34:V38)</f>
        <v>0</v>
      </c>
    </row>
    <row r="40" spans="1:23" ht="7.5" customHeight="1">
      <c r="A40" s="1"/>
      <c r="B40" s="1"/>
      <c r="C40" s="1"/>
      <c r="D40" s="26"/>
      <c r="E40" s="26"/>
      <c r="F40" s="26"/>
      <c r="G40" s="26"/>
      <c r="H40" s="26"/>
      <c r="I40" s="26"/>
      <c r="J40" s="52"/>
      <c r="K40" s="157"/>
      <c r="L40" s="176"/>
      <c r="M40" s="64"/>
      <c r="P40" s="64"/>
      <c r="Q40" s="157"/>
      <c r="R40" s="46"/>
      <c r="S40" s="64"/>
      <c r="T40" s="157"/>
      <c r="U40" s="46"/>
      <c r="V40" s="64" t="s">
        <v>1</v>
      </c>
      <c r="W40" s="6"/>
    </row>
    <row r="41" spans="1:23" s="31" customFormat="1" ht="15.75">
      <c r="A41" s="40" t="s">
        <v>23</v>
      </c>
      <c r="B41" s="21"/>
      <c r="D41" s="28"/>
      <c r="E41" s="28"/>
      <c r="F41" s="28"/>
      <c r="G41" s="28"/>
      <c r="H41" s="28"/>
      <c r="I41" s="28"/>
      <c r="J41" s="47">
        <f>SUM(J39+K39)</f>
        <v>0</v>
      </c>
      <c r="K41" s="159"/>
      <c r="L41" s="178"/>
      <c r="M41" s="47">
        <f>SUM(M39+N39)</f>
        <v>0</v>
      </c>
      <c r="N41" s="159"/>
      <c r="O41" s="144"/>
      <c r="P41" s="47">
        <f>SUM(P39+Q39)</f>
        <v>0</v>
      </c>
      <c r="Q41" s="159"/>
      <c r="R41" s="144"/>
      <c r="S41" s="47">
        <f>SUM(S39+T39)</f>
        <v>0</v>
      </c>
      <c r="T41" s="159"/>
      <c r="U41" s="144"/>
      <c r="V41" s="47">
        <f>SUM(J41+M41+P41+S41)</f>
        <v>0</v>
      </c>
      <c r="W41" s="29"/>
    </row>
    <row r="42" spans="1:23" ht="8.25" customHeight="1">
      <c r="A42" s="1"/>
      <c r="B42" s="1"/>
      <c r="C42" s="28"/>
      <c r="D42" s="26"/>
      <c r="E42" s="26"/>
      <c r="F42" s="26"/>
      <c r="G42" s="26"/>
      <c r="H42" s="26"/>
      <c r="I42" s="26"/>
      <c r="J42" s="52"/>
      <c r="K42" s="157"/>
      <c r="L42" s="176"/>
      <c r="M42" s="46"/>
      <c r="N42" s="157"/>
      <c r="O42" s="46"/>
      <c r="P42" s="46"/>
      <c r="Q42" s="157"/>
      <c r="R42" s="46"/>
      <c r="S42" s="46"/>
      <c r="T42" s="157"/>
      <c r="U42" s="46"/>
      <c r="V42" s="46" t="s">
        <v>1</v>
      </c>
      <c r="W42" s="6"/>
    </row>
    <row r="43" spans="1:23" ht="15.75">
      <c r="A43" s="22" t="s">
        <v>24</v>
      </c>
      <c r="B43" s="22" t="s">
        <v>25</v>
      </c>
      <c r="C43" s="21"/>
      <c r="D43" s="26"/>
      <c r="E43" s="26"/>
      <c r="F43" s="26"/>
      <c r="G43" s="26"/>
      <c r="H43" s="26"/>
      <c r="I43" s="26"/>
      <c r="J43" s="52"/>
      <c r="K43" s="157"/>
      <c r="L43" s="176"/>
      <c r="M43" s="50"/>
      <c r="N43" s="157"/>
      <c r="O43" s="46"/>
      <c r="P43" s="50"/>
      <c r="Q43" s="157"/>
      <c r="R43" s="46"/>
      <c r="S43" s="50"/>
      <c r="T43" s="157"/>
      <c r="U43" s="46"/>
      <c r="V43" s="50" t="s">
        <v>1</v>
      </c>
      <c r="W43" s="6"/>
    </row>
    <row r="44" spans="1:23" ht="15.75">
      <c r="A44" s="21"/>
      <c r="B44" s="21"/>
      <c r="C44" s="10" t="s">
        <v>26</v>
      </c>
      <c r="D44" s="30"/>
      <c r="E44" s="30"/>
      <c r="F44" s="30"/>
      <c r="G44" s="30"/>
      <c r="H44" s="30"/>
      <c r="I44" s="30"/>
      <c r="J44" s="42">
        <v>0</v>
      </c>
      <c r="K44" s="157"/>
      <c r="L44" s="176"/>
      <c r="M44" s="42">
        <v>0</v>
      </c>
      <c r="N44" s="158"/>
      <c r="O44" s="50"/>
      <c r="P44" s="42">
        <v>0</v>
      </c>
      <c r="Q44" s="158"/>
      <c r="R44" s="50"/>
      <c r="S44" s="42">
        <v>0</v>
      </c>
      <c r="T44" s="158"/>
      <c r="U44" s="50"/>
      <c r="V44" s="42">
        <f>SUM(J44:U44)</f>
        <v>0</v>
      </c>
      <c r="W44" s="6"/>
    </row>
    <row r="45" spans="1:23" ht="15.75">
      <c r="A45" s="21"/>
      <c r="B45" s="21"/>
      <c r="C45" s="10" t="s">
        <v>26</v>
      </c>
      <c r="D45" s="30"/>
      <c r="E45" s="30"/>
      <c r="F45" s="30"/>
      <c r="G45" s="30"/>
      <c r="H45" s="30"/>
      <c r="I45" s="30"/>
      <c r="J45" s="42">
        <v>0</v>
      </c>
      <c r="K45" s="157"/>
      <c r="L45" s="176"/>
      <c r="M45" s="42">
        <v>0</v>
      </c>
      <c r="N45" s="158"/>
      <c r="O45" s="50"/>
      <c r="P45" s="42">
        <v>0</v>
      </c>
      <c r="Q45" s="158"/>
      <c r="R45" s="50"/>
      <c r="S45" s="42">
        <v>0</v>
      </c>
      <c r="T45" s="158"/>
      <c r="U45" s="50"/>
      <c r="V45" s="42">
        <f>SUM(J45:U45)</f>
        <v>0</v>
      </c>
      <c r="W45" s="6"/>
    </row>
    <row r="46" spans="1:23" ht="15.75">
      <c r="A46" s="21"/>
      <c r="B46" s="21"/>
      <c r="C46" s="27" t="s">
        <v>27</v>
      </c>
      <c r="D46" s="28"/>
      <c r="E46" s="28"/>
      <c r="F46" s="28"/>
      <c r="G46" s="28"/>
      <c r="H46" s="28"/>
      <c r="I46" s="28"/>
      <c r="J46" s="53">
        <f>SUM(J44:J45)</f>
        <v>0</v>
      </c>
      <c r="K46" s="160"/>
      <c r="L46" s="179"/>
      <c r="M46" s="53">
        <f>SUM(M44:M45)</f>
        <v>0</v>
      </c>
      <c r="N46" s="160"/>
      <c r="O46" s="48"/>
      <c r="P46" s="53">
        <f>SUM(P44:P45)</f>
        <v>0</v>
      </c>
      <c r="Q46" s="160"/>
      <c r="R46" s="48"/>
      <c r="S46" s="53">
        <f>SUM(S44:S45)</f>
        <v>0</v>
      </c>
      <c r="T46" s="160"/>
      <c r="U46" s="48"/>
      <c r="V46" s="53">
        <f>SUM(J46:U46)</f>
        <v>0</v>
      </c>
      <c r="W46" s="29"/>
    </row>
    <row r="47" spans="1:23" ht="9" customHeight="1">
      <c r="A47" s="1"/>
      <c r="B47" s="1"/>
      <c r="C47" s="28"/>
      <c r="D47" s="26"/>
      <c r="E47" s="26"/>
      <c r="F47" s="26"/>
      <c r="G47" s="26"/>
      <c r="H47" s="26"/>
      <c r="I47" s="26"/>
      <c r="J47" s="52"/>
      <c r="K47" s="157"/>
      <c r="L47" s="176"/>
      <c r="M47" s="46"/>
      <c r="N47" s="157"/>
      <c r="O47" s="46"/>
      <c r="P47" s="46"/>
      <c r="Q47" s="157"/>
      <c r="R47" s="46"/>
      <c r="S47" s="46"/>
      <c r="T47" s="157"/>
      <c r="U47" s="46"/>
      <c r="V47" s="46"/>
      <c r="W47" s="6"/>
    </row>
    <row r="48" spans="1:23" ht="15.75">
      <c r="A48" s="22" t="s">
        <v>28</v>
      </c>
      <c r="B48" s="22" t="s">
        <v>29</v>
      </c>
      <c r="C48" s="1"/>
      <c r="D48" s="21"/>
      <c r="E48" s="21"/>
      <c r="F48" s="21"/>
      <c r="G48" s="1"/>
      <c r="H48" s="1"/>
      <c r="I48" s="1"/>
      <c r="J48" s="54" t="s">
        <v>1</v>
      </c>
      <c r="K48" s="158"/>
      <c r="L48" s="177"/>
      <c r="M48" s="45" t="s">
        <v>1</v>
      </c>
      <c r="N48" s="158"/>
      <c r="O48" s="50"/>
      <c r="P48" s="45" t="s">
        <v>1</v>
      </c>
      <c r="Q48" s="158"/>
      <c r="R48" s="50"/>
      <c r="S48" s="45" t="s">
        <v>1</v>
      </c>
      <c r="T48" s="158"/>
      <c r="U48" s="50"/>
      <c r="V48" s="45"/>
      <c r="W48" s="5"/>
    </row>
    <row r="49" spans="1:23" ht="15.75">
      <c r="A49" s="21"/>
      <c r="B49" s="21"/>
      <c r="C49" s="13" t="s">
        <v>30</v>
      </c>
      <c r="D49" s="10" t="s">
        <v>26</v>
      </c>
      <c r="E49" s="31"/>
      <c r="F49" s="31"/>
      <c r="J49" s="42">
        <v>0</v>
      </c>
      <c r="K49" s="158"/>
      <c r="L49" s="177"/>
      <c r="M49" s="42">
        <f>ROUND((J49*1.02),0)</f>
        <v>0</v>
      </c>
      <c r="N49" s="168"/>
      <c r="O49" s="148"/>
      <c r="P49" s="42">
        <f>ROUND((M49*1.02),0)</f>
        <v>0</v>
      </c>
      <c r="Q49" s="168"/>
      <c r="R49" s="148"/>
      <c r="S49" s="42">
        <f>ROUND((P49*1.02),0)</f>
        <v>0</v>
      </c>
      <c r="T49" s="168"/>
      <c r="U49" s="148"/>
      <c r="V49" s="42">
        <f>SUM(J49:U49)</f>
        <v>0</v>
      </c>
      <c r="W49" s="5"/>
    </row>
    <row r="50" spans="1:23" ht="15.75">
      <c r="A50" s="21"/>
      <c r="B50" s="21"/>
      <c r="C50" s="13" t="s">
        <v>31</v>
      </c>
      <c r="D50" s="10" t="s">
        <v>26</v>
      </c>
      <c r="E50" s="31"/>
      <c r="F50" s="31"/>
      <c r="J50" s="42">
        <v>0</v>
      </c>
      <c r="K50" s="158"/>
      <c r="L50" s="177"/>
      <c r="M50" s="42">
        <f>ROUND((J50*1.02),0)</f>
        <v>0</v>
      </c>
      <c r="N50" s="168"/>
      <c r="O50" s="148"/>
      <c r="P50" s="42">
        <f>ROUND((M50*1.02),0)</f>
        <v>0</v>
      </c>
      <c r="Q50" s="168"/>
      <c r="R50" s="148"/>
      <c r="S50" s="42">
        <f>ROUND((P50*1.02),0)</f>
        <v>0</v>
      </c>
      <c r="T50" s="168"/>
      <c r="U50" s="148"/>
      <c r="V50" s="42">
        <f>SUM(J50:U50)</f>
        <v>0</v>
      </c>
      <c r="W50" s="5"/>
    </row>
    <row r="51" spans="1:23" s="31" customFormat="1" ht="15.75">
      <c r="A51" s="21"/>
      <c r="B51" s="21"/>
      <c r="C51" s="27" t="s">
        <v>32</v>
      </c>
      <c r="D51" s="28"/>
      <c r="E51" s="28"/>
      <c r="F51" s="28"/>
      <c r="G51" s="28"/>
      <c r="H51" s="28"/>
      <c r="I51" s="28"/>
      <c r="J51" s="53">
        <f>SUM(J49:J50)</f>
        <v>0</v>
      </c>
      <c r="K51" s="160"/>
      <c r="L51" s="179"/>
      <c r="M51" s="55">
        <f>SUM(M49:M50)</f>
        <v>0</v>
      </c>
      <c r="N51" s="160"/>
      <c r="O51" s="48"/>
      <c r="P51" s="55">
        <f>SUM(P49:P50)</f>
        <v>0</v>
      </c>
      <c r="Q51" s="160"/>
      <c r="R51" s="48"/>
      <c r="S51" s="55">
        <f>SUM(S49:S50)</f>
        <v>0</v>
      </c>
      <c r="T51" s="160"/>
      <c r="U51" s="48"/>
      <c r="V51" s="55">
        <f>SUM(J51:U51)</f>
        <v>0</v>
      </c>
      <c r="W51" s="29"/>
    </row>
    <row r="52" spans="1:23" ht="10.5" customHeight="1">
      <c r="A52" s="1"/>
      <c r="B52" s="1"/>
      <c r="C52" s="28"/>
      <c r="D52" s="26"/>
      <c r="E52" s="26"/>
      <c r="F52" s="26"/>
      <c r="G52" s="26"/>
      <c r="H52" s="26"/>
      <c r="I52" s="26"/>
      <c r="J52" s="52"/>
      <c r="K52" s="157"/>
      <c r="L52" s="176"/>
      <c r="M52" s="42"/>
      <c r="N52" s="157"/>
      <c r="O52" s="46"/>
      <c r="P52" s="42"/>
      <c r="Q52" s="157"/>
      <c r="R52" s="46"/>
      <c r="S52" s="42"/>
      <c r="T52" s="157"/>
      <c r="U52" s="46"/>
      <c r="V52" s="42"/>
      <c r="W52" s="6"/>
    </row>
    <row r="53" spans="1:23" ht="15.75">
      <c r="A53" s="22" t="s">
        <v>33</v>
      </c>
      <c r="B53" s="22" t="s">
        <v>34</v>
      </c>
      <c r="C53" s="21"/>
      <c r="D53" s="21"/>
      <c r="E53" s="21"/>
      <c r="F53" s="21"/>
      <c r="G53" s="1"/>
      <c r="H53" s="1"/>
      <c r="I53" s="1"/>
      <c r="J53" s="54" t="s">
        <v>1</v>
      </c>
      <c r="K53" s="158"/>
      <c r="L53" s="177"/>
      <c r="M53" s="42" t="s">
        <v>1</v>
      </c>
      <c r="N53" s="158"/>
      <c r="O53" s="50"/>
      <c r="P53" s="42" t="s">
        <v>1</v>
      </c>
      <c r="Q53" s="158"/>
      <c r="R53" s="50"/>
      <c r="S53" s="42" t="s">
        <v>1</v>
      </c>
      <c r="T53" s="158"/>
      <c r="U53" s="50"/>
      <c r="V53" s="42"/>
      <c r="W53" s="5"/>
    </row>
    <row r="54" spans="1:23" ht="15.75">
      <c r="A54" s="21"/>
      <c r="B54" s="21"/>
      <c r="C54" s="13" t="s">
        <v>35</v>
      </c>
      <c r="D54" s="3"/>
      <c r="E54" s="31"/>
      <c r="F54" s="31"/>
      <c r="J54" s="42">
        <v>0</v>
      </c>
      <c r="K54" s="158"/>
      <c r="L54" s="177"/>
      <c r="M54" s="42">
        <f>ROUND((J54*1.02),0)</f>
        <v>0</v>
      </c>
      <c r="N54" s="168"/>
      <c r="O54" s="148"/>
      <c r="P54" s="42">
        <f>ROUND((M54*1.02),0)</f>
        <v>0</v>
      </c>
      <c r="Q54" s="168"/>
      <c r="R54" s="148"/>
      <c r="S54" s="42">
        <f>ROUND((P54*1.02),0)</f>
        <v>0</v>
      </c>
      <c r="T54" s="168"/>
      <c r="U54" s="148"/>
      <c r="V54" s="42">
        <f aca="true" t="shared" si="14" ref="V54:V65">SUM(J54:U54)</f>
        <v>0</v>
      </c>
      <c r="W54" s="5"/>
    </row>
    <row r="55" spans="1:23" ht="15.75">
      <c r="A55" s="21"/>
      <c r="B55" s="21"/>
      <c r="C55" s="13" t="s">
        <v>36</v>
      </c>
      <c r="D55" s="3"/>
      <c r="E55" s="31"/>
      <c r="F55" s="31"/>
      <c r="J55" s="42">
        <v>0</v>
      </c>
      <c r="K55" s="158"/>
      <c r="L55" s="177"/>
      <c r="M55" s="42">
        <f aca="true" t="shared" si="15" ref="M55:M60">ROUND((J55*1.02),0)</f>
        <v>0</v>
      </c>
      <c r="N55" s="168"/>
      <c r="O55" s="148"/>
      <c r="P55" s="42">
        <f aca="true" t="shared" si="16" ref="P55:P60">ROUND((M55*1.02),0)</f>
        <v>0</v>
      </c>
      <c r="Q55" s="168"/>
      <c r="R55" s="148"/>
      <c r="S55" s="42">
        <f aca="true" t="shared" si="17" ref="S55:S60">ROUND((P55*1.02),0)</f>
        <v>0</v>
      </c>
      <c r="T55" s="168"/>
      <c r="U55" s="148"/>
      <c r="V55" s="42">
        <f t="shared" si="14"/>
        <v>0</v>
      </c>
      <c r="W55" s="5"/>
    </row>
    <row r="56" spans="1:23" ht="15.75">
      <c r="A56" s="21"/>
      <c r="B56" s="21"/>
      <c r="C56" s="13" t="s">
        <v>37</v>
      </c>
      <c r="D56" s="3"/>
      <c r="E56" s="31"/>
      <c r="F56" s="31"/>
      <c r="J56" s="42">
        <v>0</v>
      </c>
      <c r="K56" s="158"/>
      <c r="L56" s="177"/>
      <c r="M56" s="42">
        <f t="shared" si="15"/>
        <v>0</v>
      </c>
      <c r="N56" s="168"/>
      <c r="O56" s="148"/>
      <c r="P56" s="42">
        <f t="shared" si="16"/>
        <v>0</v>
      </c>
      <c r="Q56" s="169"/>
      <c r="R56" s="42"/>
      <c r="S56" s="42">
        <f t="shared" si="17"/>
        <v>0</v>
      </c>
      <c r="T56" s="169"/>
      <c r="U56" s="42"/>
      <c r="V56" s="42">
        <f t="shared" si="14"/>
        <v>0</v>
      </c>
      <c r="W56" s="5"/>
    </row>
    <row r="57" spans="1:23" ht="15.75">
      <c r="A57" s="21"/>
      <c r="B57" s="21"/>
      <c r="C57" s="13" t="s">
        <v>38</v>
      </c>
      <c r="D57" s="3"/>
      <c r="E57" s="31"/>
      <c r="F57" s="31"/>
      <c r="J57" s="42">
        <v>0</v>
      </c>
      <c r="K57" s="158"/>
      <c r="L57" s="177"/>
      <c r="M57" s="42">
        <f t="shared" si="15"/>
        <v>0</v>
      </c>
      <c r="N57" s="168"/>
      <c r="O57" s="148"/>
      <c r="P57" s="42">
        <f t="shared" si="16"/>
        <v>0</v>
      </c>
      <c r="Q57" s="168"/>
      <c r="R57" s="148"/>
      <c r="S57" s="42">
        <f t="shared" si="17"/>
        <v>0</v>
      </c>
      <c r="T57" s="168"/>
      <c r="U57" s="148"/>
      <c r="V57" s="42">
        <f t="shared" si="14"/>
        <v>0</v>
      </c>
      <c r="W57" s="5"/>
    </row>
    <row r="58" spans="1:23" ht="15.75">
      <c r="A58" s="21"/>
      <c r="B58" s="21"/>
      <c r="C58" s="235" t="s">
        <v>104</v>
      </c>
      <c r="D58" s="3"/>
      <c r="E58" s="31"/>
      <c r="F58" s="31"/>
      <c r="J58" s="42">
        <v>0</v>
      </c>
      <c r="K58" s="158"/>
      <c r="L58" s="177"/>
      <c r="M58" s="42">
        <f t="shared" si="15"/>
        <v>0</v>
      </c>
      <c r="N58" s="168"/>
      <c r="O58" s="148"/>
      <c r="P58" s="42">
        <f t="shared" si="16"/>
        <v>0</v>
      </c>
      <c r="Q58" s="168"/>
      <c r="R58" s="148"/>
      <c r="S58" s="42">
        <f t="shared" si="17"/>
        <v>0</v>
      </c>
      <c r="T58" s="168"/>
      <c r="U58" s="148"/>
      <c r="V58" s="42">
        <f t="shared" si="14"/>
        <v>0</v>
      </c>
      <c r="W58" s="5"/>
    </row>
    <row r="59" spans="1:23" ht="15.75">
      <c r="A59" s="21"/>
      <c r="B59" s="21"/>
      <c r="C59" s="13" t="s">
        <v>92</v>
      </c>
      <c r="D59" s="3"/>
      <c r="E59" s="31"/>
      <c r="F59" s="31"/>
      <c r="J59" s="42">
        <v>0</v>
      </c>
      <c r="K59" s="158"/>
      <c r="L59" s="177"/>
      <c r="M59" s="42">
        <f t="shared" si="15"/>
        <v>0</v>
      </c>
      <c r="N59" s="169"/>
      <c r="O59" s="42"/>
      <c r="P59" s="42">
        <f t="shared" si="16"/>
        <v>0</v>
      </c>
      <c r="Q59" s="169"/>
      <c r="R59" s="42"/>
      <c r="S59" s="42">
        <f t="shared" si="17"/>
        <v>0</v>
      </c>
      <c r="T59" s="169"/>
      <c r="U59" s="42"/>
      <c r="V59" s="42">
        <f t="shared" si="14"/>
        <v>0</v>
      </c>
      <c r="W59" s="5"/>
    </row>
    <row r="60" spans="1:23" ht="15.75">
      <c r="A60" s="21"/>
      <c r="B60" s="21"/>
      <c r="C60" s="13" t="s">
        <v>39</v>
      </c>
      <c r="D60" s="21"/>
      <c r="E60" s="21"/>
      <c r="F60" s="21"/>
      <c r="G60" s="1"/>
      <c r="H60" s="1"/>
      <c r="I60" s="1"/>
      <c r="J60" s="42">
        <v>0</v>
      </c>
      <c r="K60" s="158"/>
      <c r="L60" s="177"/>
      <c r="M60" s="42">
        <f t="shared" si="15"/>
        <v>0</v>
      </c>
      <c r="N60" s="169"/>
      <c r="O60" s="42"/>
      <c r="P60" s="42">
        <f t="shared" si="16"/>
        <v>0</v>
      </c>
      <c r="Q60" s="169"/>
      <c r="R60" s="42"/>
      <c r="S60" s="42">
        <f t="shared" si="17"/>
        <v>0</v>
      </c>
      <c r="T60" s="169"/>
      <c r="U60" s="42"/>
      <c r="V60" s="42">
        <f t="shared" si="14"/>
        <v>0</v>
      </c>
      <c r="W60" s="5"/>
    </row>
    <row r="61" spans="1:24" ht="15.75">
      <c r="A61" s="21"/>
      <c r="B61" s="21"/>
      <c r="C61" s="22" t="s">
        <v>40</v>
      </c>
      <c r="D61" s="10"/>
      <c r="E61" s="31"/>
      <c r="F61" s="31"/>
      <c r="J61" s="42">
        <v>0</v>
      </c>
      <c r="K61" s="158"/>
      <c r="L61" s="177"/>
      <c r="M61" s="42">
        <v>0</v>
      </c>
      <c r="N61" s="168"/>
      <c r="O61" s="148"/>
      <c r="P61" s="42">
        <v>0</v>
      </c>
      <c r="Q61" s="168"/>
      <c r="R61" s="148"/>
      <c r="S61" s="42">
        <v>0</v>
      </c>
      <c r="T61" s="168"/>
      <c r="U61" s="148"/>
      <c r="V61" s="42">
        <f t="shared" si="14"/>
        <v>0</v>
      </c>
      <c r="W61" s="5"/>
      <c r="X61" s="76"/>
    </row>
    <row r="62" spans="1:24" ht="15.75">
      <c r="A62" s="21"/>
      <c r="B62" s="21"/>
      <c r="C62" s="63" t="s">
        <v>41</v>
      </c>
      <c r="D62" s="10"/>
      <c r="E62" s="31"/>
      <c r="F62" s="31"/>
      <c r="J62" s="42">
        <v>0</v>
      </c>
      <c r="K62" s="158"/>
      <c r="L62" s="177"/>
      <c r="M62" s="42">
        <v>0</v>
      </c>
      <c r="N62" s="168"/>
      <c r="O62" s="148"/>
      <c r="P62" s="42">
        <v>0</v>
      </c>
      <c r="Q62" s="168"/>
      <c r="R62" s="148"/>
      <c r="S62" s="42">
        <v>0</v>
      </c>
      <c r="T62" s="168"/>
      <c r="U62" s="148"/>
      <c r="V62" s="42">
        <f t="shared" si="14"/>
        <v>0</v>
      </c>
      <c r="W62" s="5"/>
      <c r="X62" s="76"/>
    </row>
    <row r="63" spans="1:24" ht="15.75">
      <c r="A63" s="21"/>
      <c r="B63" s="21"/>
      <c r="C63" s="63" t="s">
        <v>96</v>
      </c>
      <c r="D63" s="10"/>
      <c r="E63" s="31"/>
      <c r="F63" s="31"/>
      <c r="J63" s="42">
        <v>0</v>
      </c>
      <c r="K63" s="158"/>
      <c r="L63" s="177"/>
      <c r="M63" s="42">
        <v>0</v>
      </c>
      <c r="N63" s="168"/>
      <c r="O63" s="148"/>
      <c r="P63" s="42">
        <v>0</v>
      </c>
      <c r="Q63" s="168"/>
      <c r="R63" s="148"/>
      <c r="S63" s="42">
        <v>0</v>
      </c>
      <c r="T63" s="168"/>
      <c r="U63" s="148"/>
      <c r="V63" s="42">
        <f t="shared" si="14"/>
        <v>0</v>
      </c>
      <c r="W63" s="5"/>
      <c r="X63" s="76"/>
    </row>
    <row r="64" spans="1:24" ht="15.75">
      <c r="A64" s="21"/>
      <c r="B64" s="21"/>
      <c r="C64" s="63" t="s">
        <v>97</v>
      </c>
      <c r="D64" s="10"/>
      <c r="E64" s="31"/>
      <c r="F64" s="31"/>
      <c r="J64" s="42">
        <v>0</v>
      </c>
      <c r="K64" s="158"/>
      <c r="L64" s="177"/>
      <c r="M64" s="42">
        <v>0</v>
      </c>
      <c r="N64" s="168"/>
      <c r="O64" s="148"/>
      <c r="P64" s="42">
        <v>0</v>
      </c>
      <c r="Q64" s="168"/>
      <c r="R64" s="148"/>
      <c r="S64" s="42">
        <v>0</v>
      </c>
      <c r="T64" s="168"/>
      <c r="U64" s="148"/>
      <c r="V64" s="42">
        <f t="shared" si="14"/>
        <v>0</v>
      </c>
      <c r="W64" s="5"/>
      <c r="X64" s="76"/>
    </row>
    <row r="65" spans="1:24" ht="15.75">
      <c r="A65" s="40" t="s">
        <v>42</v>
      </c>
      <c r="D65" s="28"/>
      <c r="E65" s="28"/>
      <c r="F65" s="28"/>
      <c r="G65" s="28"/>
      <c r="H65" s="28"/>
      <c r="I65" s="28"/>
      <c r="J65" s="51">
        <f>SUM(J54:J64)</f>
        <v>0</v>
      </c>
      <c r="K65" s="161"/>
      <c r="L65" s="180"/>
      <c r="M65" s="43">
        <f>SUM(M54:M64)</f>
        <v>0</v>
      </c>
      <c r="N65" s="161"/>
      <c r="O65" s="44"/>
      <c r="P65" s="43">
        <f>SUM(P54:P64)</f>
        <v>0</v>
      </c>
      <c r="Q65" s="161"/>
      <c r="R65" s="44"/>
      <c r="S65" s="43">
        <f>SUM(S54:S64)</f>
        <v>0</v>
      </c>
      <c r="T65" s="161"/>
      <c r="U65" s="44"/>
      <c r="V65" s="43">
        <f t="shared" si="14"/>
        <v>0</v>
      </c>
      <c r="W65" s="34"/>
      <c r="X65" s="76"/>
    </row>
    <row r="66" spans="1:23" ht="7.5" customHeight="1">
      <c r="A66" s="21"/>
      <c r="B66" s="21"/>
      <c r="C66" s="26"/>
      <c r="D66" s="28"/>
      <c r="E66" s="28"/>
      <c r="F66" s="28"/>
      <c r="G66" s="26"/>
      <c r="H66" s="26"/>
      <c r="I66" s="26"/>
      <c r="J66" s="52"/>
      <c r="K66" s="157"/>
      <c r="L66" s="176"/>
      <c r="M66" s="46"/>
      <c r="N66" s="157"/>
      <c r="O66" s="46"/>
      <c r="P66" s="46"/>
      <c r="Q66" s="157"/>
      <c r="R66" s="46"/>
      <c r="S66" s="46"/>
      <c r="T66" s="157"/>
      <c r="U66" s="46"/>
      <c r="V66" s="46" t="s">
        <v>1</v>
      </c>
      <c r="W66" s="6"/>
    </row>
    <row r="67" spans="1:23" ht="16.5">
      <c r="A67" s="28"/>
      <c r="B67" s="28"/>
      <c r="C67" s="28"/>
      <c r="D67" s="21"/>
      <c r="E67" s="32" t="s">
        <v>43</v>
      </c>
      <c r="F67" s="32"/>
      <c r="G67" s="39"/>
      <c r="H67" s="39"/>
      <c r="I67" s="39"/>
      <c r="J67" s="65">
        <f>ROUND(+J65+J51+J46+J41,0)</f>
        <v>0</v>
      </c>
      <c r="K67" s="162"/>
      <c r="L67" s="181"/>
      <c r="M67" s="65">
        <f>ROUND(+M65+M51+M46+M41,0)</f>
        <v>0</v>
      </c>
      <c r="N67" s="162"/>
      <c r="O67" s="65"/>
      <c r="P67" s="65">
        <f>ROUND(+P65+P51+P46+P41,0)</f>
        <v>0</v>
      </c>
      <c r="Q67" s="162"/>
      <c r="R67" s="65"/>
      <c r="S67" s="65">
        <f>ROUND(+S65+S51+S46+S41,0)</f>
        <v>0</v>
      </c>
      <c r="T67" s="162"/>
      <c r="U67" s="65"/>
      <c r="V67" s="65">
        <f>SUM(J67:U67)</f>
        <v>0</v>
      </c>
      <c r="W67" s="34"/>
    </row>
    <row r="68" spans="1:22" ht="7.5" customHeight="1">
      <c r="A68" s="28"/>
      <c r="B68" s="28"/>
      <c r="C68" s="28"/>
      <c r="D68" s="21"/>
      <c r="E68" s="32"/>
      <c r="F68" s="32"/>
      <c r="G68" s="39"/>
      <c r="H68" s="39"/>
      <c r="I68" s="39"/>
      <c r="J68" s="66"/>
      <c r="K68" s="162"/>
      <c r="L68" s="181"/>
      <c r="M68" s="65"/>
      <c r="N68" s="170"/>
      <c r="O68" s="196"/>
      <c r="P68" s="65"/>
      <c r="Q68" s="170"/>
      <c r="R68" s="196"/>
      <c r="S68" s="65"/>
      <c r="T68" s="170"/>
      <c r="U68" s="196"/>
      <c r="V68" s="65"/>
    </row>
    <row r="69" spans="1:24" ht="15.75">
      <c r="A69" s="28"/>
      <c r="B69" s="28"/>
      <c r="C69" s="28"/>
      <c r="D69" s="21"/>
      <c r="G69" s="39"/>
      <c r="H69" s="96" t="s">
        <v>123</v>
      </c>
      <c r="I69" s="39"/>
      <c r="J69" s="74">
        <f>(IF((J61)&gt;25000,(25000),J61)+((IF((J62)&gt;25000,(25000),J62))+((IF((J63)&gt;25000,(25000),J63))+((IF((J64)&gt;25000,(25000),J64))+SUM(J67-J46-J58-J61-J62-J63-J64-J59)))))</f>
        <v>0</v>
      </c>
      <c r="K69" s="163"/>
      <c r="L69" s="182"/>
      <c r="M69" s="74">
        <f>IF(J61&gt;=(25000),0,((IF((J61+M61)&lt;=(25000),M61,(25000-J61)))))+IF(J62&gt;=(25000),0,((IF((J62+M62)&lt;=(25000),M62,(25000-J62)))))+IF(J63&gt;=(25000),0,((IF((J63+M63)&lt;=(25000),M63,(25000-J63)))))+IF(J64&gt;=(25000),0,((IF((J64+M64)&lt;=(25000),M64,(25000-J64)))))+SUM(M67-M46-M58-M61-M62-M63-M64-M59)</f>
        <v>0</v>
      </c>
      <c r="N69" s="163"/>
      <c r="O69" s="197"/>
      <c r="P69" s="74">
        <f>IF(J61&gt;=(25000),0,(((IF((J61+M61)&gt;=(25000),0,((IF((J61+M61+P61)&lt;=(25000),P61,(25000-SUM(J61+M61))))))))))+IF(J62&gt;=(25000),0,(((IF((J62+M62)&gt;=(25000),0,((IF((J62+M62+P62)&lt;(25000),P62,(25000-SUM(J62+M62))))))))))+IF(J63&gt;=(25000),0,(((IF((J63+M63)&gt;=(25000),0,((IF((J63+M63+P63)&lt;(25000),P63,(25000-SUM(J63+M63))))))))))+IF(J64&gt;=(25000),0,(((IF((J64+M64)&gt;=(25000),0,((IF((J64+M64+P64)&lt;(25000),P64,(25000-SUM(J64+M64))))))))))+SUM(P67-P46-P58-P61-P62-P63-P64-P59)</f>
        <v>0</v>
      </c>
      <c r="Q69" s="163"/>
      <c r="R69" s="197"/>
      <c r="S69" s="74">
        <f>IF(J61&gt;=(25000),0,(((IF((J61+M61)&gt;=(25000),0,((IF((J61+M61+P61)&gt;=(25000),0,(IF((J61+M61+P61+S61)&lt;=(25000),S61,(25000-SUM(J61+M61+P61))))))))))))+IF(J62&gt;=(25000),0,(((IF((J62+M62)&gt;=(25000),0,((IF((J62+M62+P62)&gt;=(25000),0,(IF((J62+M62+P62+S62)&lt;=(25000),S62,(25000-SUM(J62+M62+P62))))))))))))+IF(J63&gt;=(25000),0,(((IF((J63+M63)&gt;=(25000),0,((IF((J63+M63+P63)&gt;=(25000),0,(IF((J63+M63+P63+S63)&lt;=(25000),S63,(25000-SUM(J63+M63+P63))))))))))))+IF(J64&gt;=(25000),0,(((IF((J64+M64)&gt;=(25000),0,((IF((J64+M64+P64)&gt;=(25000),0,(IF((J64+M64+P64+S64)&lt;=(25000),S64,(25000-SUM(J64+M64+P64))))))))))))+SUM(S67-S46-S58-S61-S62-S63-S64-S59)</f>
        <v>0</v>
      </c>
      <c r="T69" s="163"/>
      <c r="U69" s="197"/>
      <c r="V69" s="74">
        <f>SUM(J69:U69)</f>
        <v>0</v>
      </c>
      <c r="X69" s="76"/>
    </row>
    <row r="70" spans="1:25" ht="15.75">
      <c r="A70" s="33" t="s">
        <v>122</v>
      </c>
      <c r="B70" s="1"/>
      <c r="C70" s="1"/>
      <c r="J70" s="42"/>
      <c r="K70" s="164"/>
      <c r="L70" s="183"/>
      <c r="M70" s="50"/>
      <c r="N70" s="164"/>
      <c r="O70" s="56"/>
      <c r="P70" s="50"/>
      <c r="Q70" s="164"/>
      <c r="R70" s="56"/>
      <c r="S70" s="50"/>
      <c r="T70" s="164"/>
      <c r="U70" s="56"/>
      <c r="V70" s="50"/>
      <c r="W70" s="5"/>
      <c r="Y70" s="75"/>
    </row>
    <row r="71" spans="1:23" ht="15.75">
      <c r="A71" s="13" t="s">
        <v>125</v>
      </c>
      <c r="B71" s="1"/>
      <c r="D71" s="7">
        <f>IF(AND(($E$82)="R",($E$84)="C"),('RATES-Fed'!E46),IF(AND(($E$82)="R",($E$84)="O"),('RATES-Fed'!E51),IF(AND(($E$82)="I",($E$84)="C"),('RATES-Fed'!E47),IF(AND(($E$82)="I",($E$84)="O"),('RATES-Fed'!E52),IF(AND(($E$82)="P",($E$84)="C"),('RATES-Fed'!E48),IF(AND(($E$82)="P",($E$84)="O"),('RATES-Fed'!E53),($E$83)))))))</f>
        <v>0.605</v>
      </c>
      <c r="E71" s="7">
        <f>IF(AND(($E$82)="R",($E$84)="C"),('RATES-Fed'!G46),IF(AND(($E$82)="R",($E$84)="O"),('RATES-Fed'!G51),IF(AND(($E$82)="I",($E$84)="C"),('RATES-Fed'!G47),IF(AND(($E$82)="I",($E$84)="O"),('RATES-Fed'!G52),IF(AND(($E$82)="P",($E$84)="C"),('RATES-Fed'!G48),IF(AND(($E$82)="P",($E$84)="O"),('RATES-Fed'!G53),($E$83)))))))</f>
        <v>0.605</v>
      </c>
      <c r="F71" s="7">
        <f>IF(AND(($E$82)="R",($E$84)="C"),('RATES-Fed'!I46),IF(AND(($E$82)="R",($E$84)="O"),('RATES-Fed'!I51),IF(AND(($E$82)="I",($E$84)="C"),('RATES-Fed'!I47),IF(AND(($E$82)="I",($E$84)="O"),('RATES-Fed'!I52),IF(AND(($E$82)="P",($E$84)="C"),('RATES-Fed'!I48),IF(AND(($E$82)="P",($E$84)="O"),('RATES-Fed'!I53),($E$83)))))))</f>
        <v>0.605</v>
      </c>
      <c r="G71" s="7">
        <f>IF(AND(($E$82)="R",($E$84)="C"),('RATES-Fed'!K46),IF(AND(($E$82)="R",($E$84)="O"),('RATES-Fed'!K51),IF(AND(($E$82)="I",($E$84)="C"),('RATES-Fed'!K47),IF(AND(($E$82)="I",($E$84)="O"),('RATES-Fed'!K52),IF(AND(($E$82)="P",($E$84)="C"),('RATES-Fed'!K48),IF(AND(($E$82)="P",($E$84)="O"),('RATES-Fed'!K53),($E$83)))))))</f>
        <v>0.605</v>
      </c>
      <c r="H71" s="7"/>
      <c r="J71" s="50">
        <f>ROUND(+D71*(J67-J46-J61-J62-J63-J64-J58-J59),0)</f>
        <v>0</v>
      </c>
      <c r="K71" s="158"/>
      <c r="L71" s="177"/>
      <c r="M71" s="50">
        <f>ROUND(+E71*(M67-M46-M61-M62-M63-M64-M58-M59),0)</f>
        <v>0</v>
      </c>
      <c r="N71" s="158"/>
      <c r="O71" s="50"/>
      <c r="P71" s="50">
        <f>ROUND(+F71*(P67-P46-P61-P62-P63-P64-P58-P59),0)</f>
        <v>0</v>
      </c>
      <c r="Q71" s="158"/>
      <c r="R71" s="50"/>
      <c r="S71" s="50">
        <f>ROUND(+G71*(S67-S46-S61-S62-S63-S64-S58-S59),0)</f>
        <v>0</v>
      </c>
      <c r="T71" s="158"/>
      <c r="U71" s="50"/>
      <c r="V71" s="50">
        <f aca="true" t="shared" si="18" ref="V71:V76">SUM(J71:U71)</f>
        <v>0</v>
      </c>
      <c r="W71" s="5"/>
    </row>
    <row r="72" spans="1:23" ht="15.75">
      <c r="A72" s="13" t="s">
        <v>44</v>
      </c>
      <c r="D72" s="7">
        <f aca="true" t="shared" si="19" ref="D72:G74">+D71</f>
        <v>0.605</v>
      </c>
      <c r="E72" s="7">
        <f t="shared" si="19"/>
        <v>0.605</v>
      </c>
      <c r="F72" s="7">
        <f t="shared" si="19"/>
        <v>0.605</v>
      </c>
      <c r="G72" s="7">
        <f t="shared" si="19"/>
        <v>0.605</v>
      </c>
      <c r="H72" s="7"/>
      <c r="J72" s="50">
        <f>(IF((J61)&gt;25000,(25000),J61)*D72)</f>
        <v>0</v>
      </c>
      <c r="K72" s="50"/>
      <c r="L72" s="50"/>
      <c r="M72" s="50">
        <f>IF(J61&gt;=(25000),0,((IF((J61+M61)&lt;=(25000),M61,(25000-J61))))*E72)</f>
        <v>0</v>
      </c>
      <c r="N72" s="274"/>
      <c r="O72" s="50"/>
      <c r="P72" s="50">
        <f>IF(J61&gt;=(25000),0,(((IF((J61+M61)&gt;=(25000),0,((IF((J61+M61+P61)&lt;=(25000),P61,(25000-SUM(J61+M61)))))))))*F72)</f>
        <v>0</v>
      </c>
      <c r="Q72" s="274"/>
      <c r="R72" s="50"/>
      <c r="S72" s="50">
        <f>IF(J61&gt;=(25000),0,(((IF((J61+M61)&gt;=(25000),0,((IF((J61+M61+P61)&gt;=(25000),0,(IF((J61+M61+P61+S61)&lt;=(25000),S61,(25000-SUM(J61+M61+P61)))))))))))*G72)</f>
        <v>0</v>
      </c>
      <c r="T72" s="158"/>
      <c r="U72" s="50"/>
      <c r="V72" s="50">
        <f t="shared" si="18"/>
        <v>0</v>
      </c>
      <c r="W72" s="5"/>
    </row>
    <row r="73" spans="1:23" ht="15.75">
      <c r="A73" s="13" t="s">
        <v>45</v>
      </c>
      <c r="D73" s="7">
        <f t="shared" si="19"/>
        <v>0.605</v>
      </c>
      <c r="E73" s="7">
        <f t="shared" si="19"/>
        <v>0.605</v>
      </c>
      <c r="F73" s="7">
        <f t="shared" si="19"/>
        <v>0.605</v>
      </c>
      <c r="G73" s="7">
        <f t="shared" si="19"/>
        <v>0.605</v>
      </c>
      <c r="H73" s="7"/>
      <c r="J73" s="50">
        <f>(IF((J62)&gt;25000,(25000),J62)*D73)</f>
        <v>0</v>
      </c>
      <c r="K73" s="274"/>
      <c r="L73" s="177"/>
      <c r="M73" s="50">
        <f>IF(J62&gt;=(25000),0,((IF((J62+M62)&lt;=(25000),M62,(25000-J62))))*E73)</f>
        <v>0</v>
      </c>
      <c r="N73" s="274"/>
      <c r="O73" s="50"/>
      <c r="P73" s="50">
        <f>IF(J62&gt;=(25000),0,(((IF((J62+M62)&gt;=(25000),0,((IF((J62+M62+P62)&lt;=(25000),P62,(25000-SUM(J62+M62)))))))))*F73)</f>
        <v>0</v>
      </c>
      <c r="Q73" s="274"/>
      <c r="R73" s="50"/>
      <c r="S73" s="50">
        <f>IF(J62&gt;=(25000),0,(((IF((J62+M62)&gt;=(25000),0,((IF((J62+M62+P62)&gt;=(25000),0,(IF((J62+M62+P62+S62)&lt;=(25000),S62,(25000-SUM(J62+M62+P62)))))))))))*G73)</f>
        <v>0</v>
      </c>
      <c r="T73" s="158"/>
      <c r="U73" s="50"/>
      <c r="V73" s="50">
        <f t="shared" si="18"/>
        <v>0</v>
      </c>
      <c r="W73" s="5"/>
    </row>
    <row r="74" spans="1:23" ht="15.75">
      <c r="A74" s="13" t="s">
        <v>94</v>
      </c>
      <c r="D74" s="7">
        <f t="shared" si="19"/>
        <v>0.605</v>
      </c>
      <c r="E74" s="7">
        <f t="shared" si="19"/>
        <v>0.605</v>
      </c>
      <c r="F74" s="7">
        <f t="shared" si="19"/>
        <v>0.605</v>
      </c>
      <c r="G74" s="7">
        <f t="shared" si="19"/>
        <v>0.605</v>
      </c>
      <c r="H74" s="7"/>
      <c r="J74" s="50">
        <f>(IF((J63)&gt;25000,(25000),J63)*D74)</f>
        <v>0</v>
      </c>
      <c r="K74" s="274"/>
      <c r="L74" s="177"/>
      <c r="M74" s="50">
        <f>IF(J63&gt;=(25000),0,((IF((J63+M63)&lt;=(25000),M63,(25000-J63))))*E74)</f>
        <v>0</v>
      </c>
      <c r="N74" s="274"/>
      <c r="O74" s="50"/>
      <c r="P74" s="50">
        <f>IF(J63&gt;=(25000),0,(((IF((J63+M63)&gt;=(25000),0,((IF((J63+M63+P63)&lt;=(25000),P63,(25000-SUM(J63+M63)))))))))*F74)</f>
        <v>0</v>
      </c>
      <c r="Q74" s="274"/>
      <c r="R74" s="50"/>
      <c r="S74" s="50">
        <f>IF(J63&gt;=(25000),0,(((IF((J63+M63)&gt;=(25000),0,((IF((J63+M63+P63)&gt;=(25000),0,(IF((J63+M63+P63+S63)&lt;=(25000),S63,(25000-SUM(J63+M63+P63)))))))))))*G74)</f>
        <v>0</v>
      </c>
      <c r="T74" s="158"/>
      <c r="U74" s="50"/>
      <c r="V74" s="50">
        <f t="shared" si="18"/>
        <v>0</v>
      </c>
      <c r="W74" s="5"/>
    </row>
    <row r="75" spans="1:23" ht="15.75">
      <c r="A75" s="13" t="s">
        <v>95</v>
      </c>
      <c r="B75" s="1"/>
      <c r="C75" s="1"/>
      <c r="D75" s="7">
        <f>+D72</f>
        <v>0.605</v>
      </c>
      <c r="E75" s="7">
        <f>+E72</f>
        <v>0.605</v>
      </c>
      <c r="F75" s="7">
        <f>+F72</f>
        <v>0.605</v>
      </c>
      <c r="G75" s="7">
        <f>+G72</f>
        <v>0.605</v>
      </c>
      <c r="H75" s="7"/>
      <c r="J75" s="50">
        <f>(IF((J64)&gt;25000,(25000),J64)*D75)</f>
        <v>0</v>
      </c>
      <c r="K75" s="274"/>
      <c r="L75" s="177"/>
      <c r="M75" s="50">
        <f>IF(J64&gt;=(25000),0,((IF((J64+M64)&lt;=(25000),M64,(25000-J64))))*E75)</f>
        <v>0</v>
      </c>
      <c r="N75" s="274"/>
      <c r="O75" s="50"/>
      <c r="P75" s="50">
        <f>IF(J64&gt;=(25000),0,(((IF((J64+M64)&gt;=(25000),0,((IF((J64+M64+P64)&lt;=(25000),P64,(25000-SUM(J64+M64)))))))))*F75)</f>
        <v>0</v>
      </c>
      <c r="Q75" s="274"/>
      <c r="R75" s="50"/>
      <c r="S75" s="50">
        <f>IF(J64&gt;=(25000),0,(((IF((J64+M64)&gt;=(25000),0,((IF((J64+M64+P64)&gt;=(25000),0,(IF((J64+M64+P64+S64)&lt;=(25000),S64,(25000-SUM(J64+M64+P64)))))))))))*G75)</f>
        <v>0</v>
      </c>
      <c r="T75" s="158"/>
      <c r="U75" s="50"/>
      <c r="V75" s="50">
        <f t="shared" si="18"/>
        <v>0</v>
      </c>
      <c r="W75" s="5"/>
    </row>
    <row r="76" spans="1:23" ht="15.75">
      <c r="A76" s="40" t="s">
        <v>124</v>
      </c>
      <c r="B76" s="1"/>
      <c r="C76" s="24"/>
      <c r="D76" s="35"/>
      <c r="E76" s="7"/>
      <c r="F76" s="7"/>
      <c r="G76" s="7"/>
      <c r="H76" s="7"/>
      <c r="I76" s="7"/>
      <c r="J76" s="53">
        <f>SUM(J71:J75)</f>
        <v>0</v>
      </c>
      <c r="K76" s="161"/>
      <c r="L76" s="180"/>
      <c r="M76" s="53">
        <f>SUM(M71:M75)</f>
        <v>0</v>
      </c>
      <c r="N76" s="161"/>
      <c r="O76" s="44"/>
      <c r="P76" s="53">
        <f>SUM(P71:P75)</f>
        <v>0</v>
      </c>
      <c r="Q76" s="161"/>
      <c r="R76" s="44"/>
      <c r="S76" s="53">
        <f>SUM(S71:S75)</f>
        <v>0</v>
      </c>
      <c r="T76" s="161"/>
      <c r="U76" s="44"/>
      <c r="V76" s="53">
        <f t="shared" si="18"/>
        <v>0</v>
      </c>
      <c r="W76" s="5"/>
    </row>
    <row r="77" spans="1:23" ht="6.75" customHeight="1">
      <c r="A77" s="40"/>
      <c r="B77" s="1"/>
      <c r="C77" s="24"/>
      <c r="D77" s="35"/>
      <c r="E77" s="7"/>
      <c r="F77" s="7"/>
      <c r="G77" s="7"/>
      <c r="H77" s="7"/>
      <c r="I77" s="7"/>
      <c r="J77" s="61"/>
      <c r="K77" s="161"/>
      <c r="L77" s="180"/>
      <c r="M77" s="62"/>
      <c r="N77" s="161"/>
      <c r="O77" s="44"/>
      <c r="P77" s="62"/>
      <c r="Q77" s="161"/>
      <c r="R77" s="44"/>
      <c r="S77" s="62"/>
      <c r="T77" s="161"/>
      <c r="U77" s="44"/>
      <c r="V77" s="62"/>
      <c r="W77" s="5"/>
    </row>
    <row r="78" spans="1:23" ht="19.5" thickBot="1">
      <c r="A78" s="40"/>
      <c r="B78" s="1"/>
      <c r="C78" s="60" t="s">
        <v>46</v>
      </c>
      <c r="D78" s="35"/>
      <c r="E78" s="7"/>
      <c r="F78" s="7"/>
      <c r="G78" s="7"/>
      <c r="H78" s="7"/>
      <c r="I78" s="7"/>
      <c r="J78" s="72">
        <f>J76+J67</f>
        <v>0</v>
      </c>
      <c r="K78" s="162"/>
      <c r="L78" s="181"/>
      <c r="M78" s="72">
        <f>M76+M67</f>
        <v>0</v>
      </c>
      <c r="N78" s="162"/>
      <c r="O78" s="65"/>
      <c r="P78" s="72">
        <f>P76+P67</f>
        <v>0</v>
      </c>
      <c r="Q78" s="162"/>
      <c r="R78" s="65"/>
      <c r="S78" s="72">
        <f>S76+S67</f>
        <v>0</v>
      </c>
      <c r="T78" s="162"/>
      <c r="U78" s="65"/>
      <c r="V78" s="72">
        <f>SUM(J78:U78)</f>
        <v>0</v>
      </c>
      <c r="W78" s="5"/>
    </row>
    <row r="79" spans="1:23" ht="8.25" customHeight="1" thickTop="1">
      <c r="A79" s="28"/>
      <c r="B79" s="1"/>
      <c r="C79" s="35"/>
      <c r="D79" s="7"/>
      <c r="E79" s="7"/>
      <c r="F79" s="7"/>
      <c r="G79" s="7"/>
      <c r="H79" s="7"/>
      <c r="I79" s="7"/>
      <c r="J79" s="50"/>
      <c r="K79" s="158"/>
      <c r="L79" s="177"/>
      <c r="M79" s="50"/>
      <c r="N79" s="158"/>
      <c r="O79" s="50"/>
      <c r="P79" s="50"/>
      <c r="Q79" s="158"/>
      <c r="R79" s="50"/>
      <c r="S79" s="50"/>
      <c r="T79" s="158"/>
      <c r="U79" s="50"/>
      <c r="V79" s="50" t="s">
        <v>1</v>
      </c>
      <c r="W79" s="5"/>
    </row>
    <row r="80" spans="1:23" ht="9" customHeight="1">
      <c r="A80" s="1"/>
      <c r="B80" s="1"/>
      <c r="C80" s="1"/>
      <c r="D80" s="1"/>
      <c r="E80" s="1"/>
      <c r="F80" s="1"/>
      <c r="G80" s="1"/>
      <c r="H80" s="1"/>
      <c r="I80" s="1"/>
      <c r="J80" s="49"/>
      <c r="K80" s="165"/>
      <c r="L80" s="184"/>
      <c r="M80" s="58"/>
      <c r="N80" s="165"/>
      <c r="O80" s="57"/>
      <c r="P80" s="58"/>
      <c r="Q80" s="165"/>
      <c r="R80" s="57"/>
      <c r="S80" s="58"/>
      <c r="T80" s="165"/>
      <c r="U80" s="57"/>
      <c r="V80" s="58"/>
      <c r="W80" s="1"/>
    </row>
    <row r="81" ht="15.75">
      <c r="C81" s="36" t="s">
        <v>126</v>
      </c>
    </row>
    <row r="82" spans="3:7" ht="15.75">
      <c r="C82" s="14" t="s">
        <v>47</v>
      </c>
      <c r="E82" s="15" t="s">
        <v>48</v>
      </c>
      <c r="G82" s="14" t="s">
        <v>49</v>
      </c>
    </row>
    <row r="83" spans="3:6" ht="15.75">
      <c r="C83" s="14" t="s">
        <v>205</v>
      </c>
      <c r="E83" s="9">
        <v>0.1</v>
      </c>
      <c r="F83" s="9"/>
    </row>
    <row r="84" spans="3:7" ht="15.75">
      <c r="C84" s="14" t="s">
        <v>50</v>
      </c>
      <c r="E84" s="172" t="s">
        <v>51</v>
      </c>
      <c r="G84" s="14" t="s">
        <v>52</v>
      </c>
    </row>
    <row r="86" spans="4:19" ht="15.75">
      <c r="D86" s="222" t="s">
        <v>231</v>
      </c>
      <c r="H86" s="220">
        <f>+'RATES-Fed'!E31</f>
        <v>0.605</v>
      </c>
      <c r="J86" s="219">
        <f>J76/12*'RATES-Fed'!$C$46</f>
        <v>0</v>
      </c>
      <c r="L86" s="220">
        <f>+'RATES-Fed'!G31</f>
        <v>0.605</v>
      </c>
      <c r="M86" s="219">
        <f>M76/12*'RATES-Fed'!$C$46</f>
        <v>0</v>
      </c>
      <c r="O86" s="221">
        <f>+'RATES-Fed'!I31</f>
        <v>0.605</v>
      </c>
      <c r="P86" s="219">
        <f>P76/12*'RATES-Fed'!$C$46</f>
        <v>0</v>
      </c>
      <c r="R86" s="221">
        <f>+'RATES-Fed'!K31</f>
        <v>0.605</v>
      </c>
      <c r="S86" s="219">
        <f>S76/12*'RATES-Fed'!$C$46</f>
        <v>0</v>
      </c>
    </row>
    <row r="87" spans="4:19" ht="15.75" customHeight="1">
      <c r="D87" s="302" t="s">
        <v>232</v>
      </c>
      <c r="E87" s="302"/>
      <c r="F87" s="302"/>
      <c r="G87" s="302"/>
      <c r="H87" s="220">
        <f>+'RATES-Fed'!G31</f>
        <v>0.605</v>
      </c>
      <c r="J87" s="219">
        <f>J76/12*'RATES-Fed'!$D$46</f>
        <v>0</v>
      </c>
      <c r="L87" s="220">
        <f>+'RATES-Fed'!I31</f>
        <v>0.605</v>
      </c>
      <c r="M87" s="219">
        <f>M76/12*'RATES-Fed'!$D$46</f>
        <v>0</v>
      </c>
      <c r="O87" s="221">
        <f>+'RATES-Fed'!K31</f>
        <v>0.605</v>
      </c>
      <c r="P87" s="219">
        <f>P76/12*'RATES-Fed'!$D$46</f>
        <v>0</v>
      </c>
      <c r="R87" s="221">
        <f>+'RATES-Fed'!M31</f>
        <v>0.605</v>
      </c>
      <c r="S87" s="219">
        <f>S76/12*'RATES-Fed'!$D$46</f>
        <v>0</v>
      </c>
    </row>
    <row r="88" spans="4:23" ht="18.75">
      <c r="D88" s="302"/>
      <c r="E88" s="302"/>
      <c r="F88" s="302"/>
      <c r="G88" s="302"/>
      <c r="J88" s="219">
        <f>SUM(J86:J87)</f>
        <v>0</v>
      </c>
      <c r="M88" s="219">
        <f>SUM(M86:M87)</f>
        <v>0</v>
      </c>
      <c r="P88" s="219">
        <f>SUM(P86:P87)</f>
        <v>0</v>
      </c>
      <c r="S88" s="219">
        <f>SUM(S86:S87)</f>
        <v>0</v>
      </c>
      <c r="U88" s="313">
        <f>'RATES-Fed'!Q67</f>
        <v>0</v>
      </c>
      <c r="V88" s="313"/>
      <c r="W88" s="313"/>
    </row>
  </sheetData>
  <sheetProtection/>
  <mergeCells count="7">
    <mergeCell ref="D87:G88"/>
    <mergeCell ref="K4:U5"/>
    <mergeCell ref="J8:L8"/>
    <mergeCell ref="M8:O8"/>
    <mergeCell ref="P8:R8"/>
    <mergeCell ref="S8:U8"/>
    <mergeCell ref="U88:W88"/>
  </mergeCells>
  <dataValidations count="1">
    <dataValidation type="list" allowBlank="1" showInputMessage="1" showErrorMessage="1" sqref="D11 D13 D15 D17:D18 D21:D24">
      <formula1>APPTS</formula1>
    </dataValidation>
  </dataValidations>
  <hyperlinks>
    <hyperlink ref="C58" r:id="rId1" display="UC Tuition rates (Not Subject to Indirect)"/>
  </hyperlinks>
  <printOptions horizontalCentered="1"/>
  <pageMargins left="0.5" right="0.3" top="0.5" bottom="0.5" header="0.5" footer="0.5"/>
  <pageSetup fitToHeight="1" fitToWidth="1" horizontalDpi="300" verticalDpi="300" orientation="landscape" scale="43" r:id="rId4"/>
  <legacyDrawing r:id="rId3"/>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AB88"/>
  <sheetViews>
    <sheetView showGridLines="0" tabSelected="1" zoomScale="75" zoomScaleNormal="75" workbookViewId="0" topLeftCell="G46">
      <selection activeCell="V71" sqref="V71"/>
    </sheetView>
  </sheetViews>
  <sheetFormatPr defaultColWidth="9.625" defaultRowHeight="15.75"/>
  <cols>
    <col min="1" max="2" width="2.625" style="0" customWidth="1"/>
    <col min="3" max="3" width="20.50390625" style="0" customWidth="1"/>
    <col min="4" max="4" width="16.125" style="0" customWidth="1"/>
    <col min="5" max="6" width="7.625" style="0" customWidth="1"/>
    <col min="7" max="7" width="9.875" style="0" customWidth="1"/>
    <col min="8" max="8" width="7.25390625" style="0" customWidth="1"/>
    <col min="9" max="9" width="7.25390625" style="0" hidden="1" customWidth="1"/>
    <col min="10" max="10" width="13.75390625" style="0" customWidth="1"/>
    <col min="11" max="11" width="8.125" style="166" bestFit="1" customWidth="1"/>
    <col min="12" max="12" width="10.125" style="185" bestFit="1" customWidth="1"/>
    <col min="13" max="13" width="11.25390625" style="0" customWidth="1"/>
    <col min="14" max="14" width="9.25390625" style="166" bestFit="1" customWidth="1"/>
    <col min="15" max="15" width="9.50390625" style="94" bestFit="1" customWidth="1"/>
    <col min="16" max="16" width="11.25390625" style="0" customWidth="1"/>
    <col min="17" max="17" width="9.25390625" style="166" bestFit="1" customWidth="1"/>
    <col min="18" max="18" width="8.75390625" style="94" bestFit="1" customWidth="1"/>
    <col min="19" max="19" width="11.25390625" style="0" customWidth="1"/>
    <col min="20" max="20" width="9.25390625" style="166" bestFit="1" customWidth="1"/>
    <col min="21" max="21" width="8.75390625" style="94" bestFit="1" customWidth="1"/>
    <col min="22" max="24" width="8.75390625" style="94" customWidth="1"/>
    <col min="25" max="25" width="14.625" style="0" customWidth="1"/>
    <col min="26" max="26" width="2.625" style="0" customWidth="1"/>
  </cols>
  <sheetData>
    <row r="1" spans="1:24" ht="18.75">
      <c r="A1" s="17" t="s">
        <v>0</v>
      </c>
      <c r="B1" s="18"/>
      <c r="C1" s="18"/>
      <c r="D1" s="18"/>
      <c r="E1" s="18"/>
      <c r="F1" s="18"/>
      <c r="G1" s="18"/>
      <c r="H1" s="18"/>
      <c r="I1" s="18"/>
      <c r="J1" s="19"/>
      <c r="K1" s="152"/>
      <c r="L1" s="173"/>
      <c r="M1" s="37"/>
      <c r="N1" s="167"/>
      <c r="O1" s="195"/>
      <c r="P1" s="37"/>
      <c r="Q1" s="167"/>
      <c r="R1" s="195"/>
      <c r="S1" s="37"/>
      <c r="T1" s="167"/>
      <c r="U1" s="195"/>
      <c r="V1" s="195"/>
      <c r="W1" s="195"/>
      <c r="X1" s="195"/>
    </row>
    <row r="2" spans="1:25" ht="18.75">
      <c r="A2" s="17" t="s">
        <v>93</v>
      </c>
      <c r="B2" s="18"/>
      <c r="C2" s="18"/>
      <c r="D2" s="18"/>
      <c r="E2" s="18"/>
      <c r="F2" s="18"/>
      <c r="G2" s="18"/>
      <c r="H2" s="18"/>
      <c r="I2" s="18"/>
      <c r="J2" s="19"/>
      <c r="K2" s="152"/>
      <c r="L2" s="173"/>
      <c r="M2" s="37"/>
      <c r="N2" s="167"/>
      <c r="O2" s="195"/>
      <c r="P2" s="37"/>
      <c r="Q2" s="167"/>
      <c r="R2" s="195"/>
      <c r="S2" s="37"/>
      <c r="T2" s="167"/>
      <c r="U2" s="195"/>
      <c r="V2" s="195"/>
      <c r="W2" s="195"/>
      <c r="X2" s="195"/>
      <c r="Y2" s="37"/>
    </row>
    <row r="3" spans="1:25" ht="9.75" customHeight="1">
      <c r="A3" s="10" t="s">
        <v>1</v>
      </c>
      <c r="B3" s="1"/>
      <c r="J3" s="11" t="s">
        <v>1</v>
      </c>
      <c r="K3" s="153"/>
      <c r="L3" s="174"/>
      <c r="M3" s="8"/>
      <c r="P3" s="8"/>
      <c r="S3" s="8"/>
      <c r="Y3" s="8"/>
    </row>
    <row r="4" spans="1:25" ht="15.75">
      <c r="A4" s="22" t="s">
        <v>2</v>
      </c>
      <c r="B4" s="1"/>
      <c r="D4" s="10" t="s">
        <v>71</v>
      </c>
      <c r="G4" s="3"/>
      <c r="J4" s="20" t="s">
        <v>3</v>
      </c>
      <c r="K4" s="303" t="s">
        <v>71</v>
      </c>
      <c r="L4" s="304"/>
      <c r="M4" s="305"/>
      <c r="N4" s="305"/>
      <c r="O4" s="305"/>
      <c r="P4" s="305"/>
      <c r="Q4" s="305"/>
      <c r="R4" s="305"/>
      <c r="S4" s="305"/>
      <c r="T4" s="305"/>
      <c r="U4" s="306"/>
      <c r="V4" s="289"/>
      <c r="W4" s="289"/>
      <c r="X4" s="289"/>
      <c r="Y4" s="8"/>
    </row>
    <row r="5" spans="1:25" ht="18.75">
      <c r="A5" s="22" t="s">
        <v>4</v>
      </c>
      <c r="B5" s="1"/>
      <c r="D5" s="10" t="s">
        <v>71</v>
      </c>
      <c r="E5" s="3"/>
      <c r="F5" s="3"/>
      <c r="H5" s="2"/>
      <c r="I5" s="2"/>
      <c r="J5" s="38"/>
      <c r="K5" s="307"/>
      <c r="L5" s="308"/>
      <c r="M5" s="308"/>
      <c r="N5" s="308"/>
      <c r="O5" s="308"/>
      <c r="P5" s="308"/>
      <c r="Q5" s="308"/>
      <c r="R5" s="308"/>
      <c r="S5" s="308"/>
      <c r="T5" s="308"/>
      <c r="U5" s="309"/>
      <c r="V5" s="289"/>
      <c r="W5" s="289"/>
      <c r="X5" s="289"/>
      <c r="Y5" s="8"/>
    </row>
    <row r="6" spans="1:25" ht="15.75">
      <c r="A6" s="14"/>
      <c r="B6" s="22" t="s">
        <v>5</v>
      </c>
      <c r="D6" s="73">
        <f>'RATES-Fed'!E2</f>
        <v>42917</v>
      </c>
      <c r="E6" s="12" t="s">
        <v>6</v>
      </c>
      <c r="F6" s="12"/>
      <c r="G6" s="73">
        <f>'RATES-Fed'!G2</f>
        <v>44742</v>
      </c>
      <c r="H6" s="4"/>
      <c r="I6" s="4"/>
      <c r="J6" s="2"/>
      <c r="K6" s="154"/>
      <c r="L6" s="175"/>
      <c r="M6" s="3"/>
      <c r="N6" s="154"/>
      <c r="O6" s="149"/>
      <c r="P6" s="3"/>
      <c r="Q6" s="154"/>
      <c r="R6" s="149"/>
      <c r="S6" s="3"/>
      <c r="T6" s="154"/>
      <c r="U6" s="149"/>
      <c r="V6" s="149"/>
      <c r="W6" s="149"/>
      <c r="X6" s="149"/>
      <c r="Y6" s="8"/>
    </row>
    <row r="7" spans="5:26" ht="7.5" customHeight="1">
      <c r="E7" s="3"/>
      <c r="F7" s="3"/>
      <c r="G7" s="1"/>
      <c r="H7" s="1"/>
      <c r="I7" s="1"/>
      <c r="J7" s="16" t="s">
        <v>1</v>
      </c>
      <c r="K7" s="153"/>
      <c r="L7" s="174"/>
      <c r="M7" s="8"/>
      <c r="N7" s="153"/>
      <c r="O7" s="143"/>
      <c r="P7" s="8"/>
      <c r="Q7" s="153"/>
      <c r="R7" s="143"/>
      <c r="S7" s="8"/>
      <c r="T7" s="153"/>
      <c r="U7" s="143"/>
      <c r="V7" s="143"/>
      <c r="W7" s="143"/>
      <c r="X7" s="143"/>
      <c r="Y7" s="8"/>
      <c r="Z7" s="1"/>
    </row>
    <row r="8" spans="1:26" ht="15.75">
      <c r="A8" s="21"/>
      <c r="B8" s="21"/>
      <c r="C8" s="21"/>
      <c r="D8" s="21"/>
      <c r="E8" s="21"/>
      <c r="F8" s="21"/>
      <c r="G8" s="21"/>
      <c r="H8" s="21"/>
      <c r="I8" s="21"/>
      <c r="J8" s="292" t="s">
        <v>21</v>
      </c>
      <c r="K8" s="293"/>
      <c r="L8" s="294"/>
      <c r="M8" s="310" t="s">
        <v>54</v>
      </c>
      <c r="N8" s="311"/>
      <c r="O8" s="312"/>
      <c r="P8" s="310" t="s">
        <v>56</v>
      </c>
      <c r="Q8" s="311"/>
      <c r="R8" s="312"/>
      <c r="S8" s="310" t="s">
        <v>58</v>
      </c>
      <c r="T8" s="311"/>
      <c r="U8" s="312"/>
      <c r="V8" s="310" t="s">
        <v>60</v>
      </c>
      <c r="W8" s="311"/>
      <c r="X8" s="312"/>
      <c r="Y8" s="171" t="s">
        <v>8</v>
      </c>
      <c r="Z8" s="21"/>
    </row>
    <row r="9" spans="1:26" s="147" customFormat="1" ht="15.75">
      <c r="A9" s="145" t="s">
        <v>9</v>
      </c>
      <c r="B9" s="145" t="s">
        <v>10</v>
      </c>
      <c r="C9" s="145"/>
      <c r="D9" s="145"/>
      <c r="E9" s="145"/>
      <c r="F9" s="145"/>
      <c r="G9" s="145"/>
      <c r="H9" s="145"/>
      <c r="I9" s="145"/>
      <c r="J9" s="189" t="s">
        <v>210</v>
      </c>
      <c r="K9" s="155" t="s">
        <v>211</v>
      </c>
      <c r="L9" s="145" t="s">
        <v>212</v>
      </c>
      <c r="M9" s="194" t="s">
        <v>210</v>
      </c>
      <c r="N9" s="155" t="s">
        <v>211</v>
      </c>
      <c r="O9" s="145" t="s">
        <v>212</v>
      </c>
      <c r="P9" s="194" t="s">
        <v>210</v>
      </c>
      <c r="Q9" s="155" t="s">
        <v>211</v>
      </c>
      <c r="R9" s="145" t="s">
        <v>212</v>
      </c>
      <c r="S9" s="194" t="s">
        <v>210</v>
      </c>
      <c r="T9" s="155" t="s">
        <v>211</v>
      </c>
      <c r="U9" s="145" t="s">
        <v>212</v>
      </c>
      <c r="V9" s="194" t="s">
        <v>210</v>
      </c>
      <c r="W9" s="155" t="s">
        <v>211</v>
      </c>
      <c r="X9" s="145" t="s">
        <v>212</v>
      </c>
      <c r="Y9" s="146"/>
      <c r="Z9" s="145"/>
    </row>
    <row r="10" spans="1:26" ht="15.75">
      <c r="A10" s="1"/>
      <c r="B10" s="23" t="s">
        <v>11</v>
      </c>
      <c r="C10" s="24"/>
      <c r="D10" s="24" t="s">
        <v>103</v>
      </c>
      <c r="E10" s="1" t="s">
        <v>12</v>
      </c>
      <c r="F10" s="41" t="s">
        <v>129</v>
      </c>
      <c r="G10" s="41" t="s">
        <v>13</v>
      </c>
      <c r="H10" s="1"/>
      <c r="I10" s="1"/>
      <c r="J10" s="190"/>
      <c r="K10" s="153"/>
      <c r="L10" s="143"/>
      <c r="M10" s="190"/>
      <c r="N10" s="153"/>
      <c r="O10" s="143"/>
      <c r="P10" s="190"/>
      <c r="Q10" s="153"/>
      <c r="R10" s="143"/>
      <c r="S10" s="190"/>
      <c r="T10" s="153"/>
      <c r="U10" s="143"/>
      <c r="V10" s="190"/>
      <c r="W10" s="153"/>
      <c r="X10" s="143"/>
      <c r="Y10" s="2">
        <f>IF(SUM(J10:N10)=0,"",SUM(J10:N10))</f>
      </c>
      <c r="Z10" s="1"/>
    </row>
    <row r="11" spans="1:26" ht="15.75">
      <c r="A11" s="1"/>
      <c r="B11" s="1" t="s">
        <v>14</v>
      </c>
      <c r="C11" s="10" t="str">
        <f>D5</f>
        <v>name</v>
      </c>
      <c r="D11" s="140" t="s">
        <v>131</v>
      </c>
      <c r="E11" s="70">
        <v>0</v>
      </c>
      <c r="F11" s="99">
        <f aca="true" t="shared" si="0" ref="F11:F18">IF(D11="CAL",(52*E11/4.3333),(IF(D11="ACAD",(32*E11/4.33333),IF(D11="SUMR",(14*E11/4.33333),IF(D11="PT",(0),0)))))</f>
        <v>0</v>
      </c>
      <c r="G11" s="69">
        <v>0</v>
      </c>
      <c r="J11" s="187">
        <f>ROUND(G11*E11,0)</f>
        <v>0</v>
      </c>
      <c r="K11" s="156">
        <f>ROUND(J11*'RATES-Fed'!E38,0)</f>
        <v>0</v>
      </c>
      <c r="L11" s="67">
        <f>ROUND(K11+J11,0)</f>
        <v>0</v>
      </c>
      <c r="M11" s="187">
        <f>ROUND((J11*1.02),0)</f>
        <v>0</v>
      </c>
      <c r="N11" s="156">
        <f>ROUND(M11*'RATES-Fed'!G38,0)</f>
        <v>0</v>
      </c>
      <c r="O11" s="67">
        <f aca="true" t="shared" si="1" ref="O11:O18">ROUND(M11+N11,0)</f>
        <v>0</v>
      </c>
      <c r="P11" s="187">
        <f>ROUND((M11*1.02),0)</f>
        <v>0</v>
      </c>
      <c r="Q11" s="156">
        <f>ROUND(P11*'RATES-Fed'!I38,0)</f>
        <v>0</v>
      </c>
      <c r="R11" s="67">
        <f>SUM(P11:Q11)</f>
        <v>0</v>
      </c>
      <c r="S11" s="187">
        <f>ROUND((P11*1.02),0)</f>
        <v>0</v>
      </c>
      <c r="T11" s="156">
        <f>ROUND(S11*'RATES-Fed'!K38,0)</f>
        <v>0</v>
      </c>
      <c r="U11" s="67">
        <f aca="true" t="shared" si="2" ref="U11:U18">SUM(S11:T11)</f>
        <v>0</v>
      </c>
      <c r="V11" s="187">
        <f>ROUND((S11*1.02),0)</f>
        <v>0</v>
      </c>
      <c r="W11" s="156">
        <f>ROUND(V11*'RATES-Fed'!M38,0)</f>
        <v>0</v>
      </c>
      <c r="X11" s="67">
        <f aca="true" t="shared" si="3" ref="X11:X18">SUM(V11:W11)</f>
        <v>0</v>
      </c>
      <c r="Y11" s="42">
        <f>SUM(L11+O11+R11+U11+X11)</f>
        <v>0</v>
      </c>
      <c r="Z11" s="1"/>
    </row>
    <row r="12" spans="1:26" ht="15.75">
      <c r="A12" s="1"/>
      <c r="B12" s="1" t="s">
        <v>14</v>
      </c>
      <c r="C12" s="3"/>
      <c r="D12" s="140" t="str">
        <f>IF(D11="ACAD",("SUMR"),"")</f>
        <v>SUMR</v>
      </c>
      <c r="E12" s="70">
        <v>0</v>
      </c>
      <c r="F12" s="99">
        <f t="shared" si="0"/>
        <v>0</v>
      </c>
      <c r="G12" s="69">
        <f>+G11*0.4375</f>
        <v>0</v>
      </c>
      <c r="J12" s="187">
        <f aca="true" t="shared" si="4" ref="J12:J18">ROUND(G12*E12,0)</f>
        <v>0</v>
      </c>
      <c r="K12" s="156">
        <f>ROUND(J12*'RATES-Fed'!E38,0)</f>
        <v>0</v>
      </c>
      <c r="L12" s="67">
        <f aca="true" t="shared" si="5" ref="L12:L18">ROUND(K12+J12,0)</f>
        <v>0</v>
      </c>
      <c r="M12" s="187">
        <f aca="true" t="shared" si="6" ref="M12:M18">ROUND((J12*1.02),0)</f>
        <v>0</v>
      </c>
      <c r="N12" s="156">
        <f>ROUND(M12*'RATES-Fed'!G38,0)</f>
        <v>0</v>
      </c>
      <c r="O12" s="67">
        <f t="shared" si="1"/>
        <v>0</v>
      </c>
      <c r="P12" s="187">
        <f aca="true" t="shared" si="7" ref="P12:P18">ROUND((M12*1.02),0)</f>
        <v>0</v>
      </c>
      <c r="Q12" s="156">
        <f>ROUND(P12*'RATES-Fed'!I38,0)</f>
        <v>0</v>
      </c>
      <c r="R12" s="67">
        <f aca="true" t="shared" si="8" ref="R12:R18">SUM(P12:Q12)</f>
        <v>0</v>
      </c>
      <c r="S12" s="187">
        <f aca="true" t="shared" si="9" ref="S12:S18">ROUND((P12*1.02),0)</f>
        <v>0</v>
      </c>
      <c r="T12" s="156">
        <f>ROUND(S12*'RATES-Fed'!K38,0)</f>
        <v>0</v>
      </c>
      <c r="U12" s="67">
        <f t="shared" si="2"/>
        <v>0</v>
      </c>
      <c r="V12" s="187">
        <f aca="true" t="shared" si="10" ref="V12:V18">ROUND((S12*1.02),0)</f>
        <v>0</v>
      </c>
      <c r="W12" s="156">
        <f>ROUND(V12*'RATES-Fed'!M38,0)</f>
        <v>0</v>
      </c>
      <c r="X12" s="67">
        <f t="shared" si="3"/>
        <v>0</v>
      </c>
      <c r="Y12" s="42">
        <f aca="true" t="shared" si="11" ref="Y12:Y18">SUM(L12+O12+R12+U12+X12)</f>
        <v>0</v>
      </c>
      <c r="Z12" s="1"/>
    </row>
    <row r="13" spans="1:26" ht="15.75">
      <c r="A13" s="1"/>
      <c r="B13" s="1" t="s">
        <v>15</v>
      </c>
      <c r="C13" s="3"/>
      <c r="D13" s="140" t="s">
        <v>131</v>
      </c>
      <c r="E13" s="70">
        <v>0</v>
      </c>
      <c r="F13" s="99">
        <f t="shared" si="0"/>
        <v>0</v>
      </c>
      <c r="G13" s="69">
        <v>0</v>
      </c>
      <c r="J13" s="187">
        <f t="shared" si="4"/>
        <v>0</v>
      </c>
      <c r="K13" s="156">
        <f>ROUND(J13*'RATES-Fed'!E38,0)</f>
        <v>0</v>
      </c>
      <c r="L13" s="67">
        <f t="shared" si="5"/>
        <v>0</v>
      </c>
      <c r="M13" s="187">
        <f t="shared" si="6"/>
        <v>0</v>
      </c>
      <c r="N13" s="156">
        <f>ROUND(M13*'RATES-Fed'!G38,0)</f>
        <v>0</v>
      </c>
      <c r="O13" s="67">
        <f t="shared" si="1"/>
        <v>0</v>
      </c>
      <c r="P13" s="187">
        <f t="shared" si="7"/>
        <v>0</v>
      </c>
      <c r="Q13" s="156">
        <f>ROUND(P13*'RATES-Fed'!I38,0)</f>
        <v>0</v>
      </c>
      <c r="R13" s="67">
        <f t="shared" si="8"/>
        <v>0</v>
      </c>
      <c r="S13" s="187">
        <f t="shared" si="9"/>
        <v>0</v>
      </c>
      <c r="T13" s="156">
        <f>ROUND(S13*'RATES-Fed'!K38,0)</f>
        <v>0</v>
      </c>
      <c r="U13" s="67">
        <f t="shared" si="2"/>
        <v>0</v>
      </c>
      <c r="V13" s="187">
        <f t="shared" si="10"/>
        <v>0</v>
      </c>
      <c r="W13" s="156">
        <f>ROUND(V13*'RATES-Fed'!M38,0)</f>
        <v>0</v>
      </c>
      <c r="X13" s="67">
        <f t="shared" si="3"/>
        <v>0</v>
      </c>
      <c r="Y13" s="42">
        <f t="shared" si="11"/>
        <v>0</v>
      </c>
      <c r="Z13" s="1"/>
    </row>
    <row r="14" spans="1:25" ht="15.75">
      <c r="A14" s="1"/>
      <c r="B14" s="1"/>
      <c r="C14" s="3"/>
      <c r="D14" s="140" t="str">
        <f>IF(D13="ACAD",("SUMR"),"")</f>
        <v>SUMR</v>
      </c>
      <c r="E14" s="70">
        <v>0</v>
      </c>
      <c r="F14" s="99">
        <f t="shared" si="0"/>
        <v>0</v>
      </c>
      <c r="G14" s="69">
        <f>+G13*0.4375</f>
        <v>0</v>
      </c>
      <c r="J14" s="187">
        <f t="shared" si="4"/>
        <v>0</v>
      </c>
      <c r="K14" s="156">
        <f>ROUND(J14*'RATES-Fed'!E38,0)</f>
        <v>0</v>
      </c>
      <c r="L14" s="67">
        <f t="shared" si="5"/>
        <v>0</v>
      </c>
      <c r="M14" s="187">
        <f t="shared" si="6"/>
        <v>0</v>
      </c>
      <c r="N14" s="156">
        <f>ROUND(M14*'RATES-Fed'!G38,0)</f>
        <v>0</v>
      </c>
      <c r="O14" s="67">
        <f t="shared" si="1"/>
        <v>0</v>
      </c>
      <c r="P14" s="187">
        <f t="shared" si="7"/>
        <v>0</v>
      </c>
      <c r="Q14" s="156">
        <f>ROUND(P14*'RATES-Fed'!I38,0)</f>
        <v>0</v>
      </c>
      <c r="R14" s="67">
        <f t="shared" si="8"/>
        <v>0</v>
      </c>
      <c r="S14" s="187">
        <f t="shared" si="9"/>
        <v>0</v>
      </c>
      <c r="T14" s="156">
        <f>ROUND(S14*'RATES-Fed'!K38,0)</f>
        <v>0</v>
      </c>
      <c r="U14" s="67">
        <f t="shared" si="2"/>
        <v>0</v>
      </c>
      <c r="V14" s="187">
        <f t="shared" si="10"/>
        <v>0</v>
      </c>
      <c r="W14" s="156">
        <f>ROUND(V14*'RATES-Fed'!M38,0)</f>
        <v>0</v>
      </c>
      <c r="X14" s="67">
        <f t="shared" si="3"/>
        <v>0</v>
      </c>
      <c r="Y14" s="42">
        <f t="shared" si="11"/>
        <v>0</v>
      </c>
    </row>
    <row r="15" spans="1:26" ht="15.75">
      <c r="A15" s="1"/>
      <c r="B15" s="1" t="s">
        <v>15</v>
      </c>
      <c r="C15" s="3"/>
      <c r="D15" s="140" t="s">
        <v>131</v>
      </c>
      <c r="E15" s="70">
        <v>0</v>
      </c>
      <c r="F15" s="99">
        <f t="shared" si="0"/>
        <v>0</v>
      </c>
      <c r="G15" s="69">
        <v>0</v>
      </c>
      <c r="J15" s="187">
        <f t="shared" si="4"/>
        <v>0</v>
      </c>
      <c r="K15" s="156">
        <f>ROUND(J15*'RATES-Fed'!E38,0)</f>
        <v>0</v>
      </c>
      <c r="L15" s="67">
        <f t="shared" si="5"/>
        <v>0</v>
      </c>
      <c r="M15" s="187">
        <f t="shared" si="6"/>
        <v>0</v>
      </c>
      <c r="N15" s="156">
        <f>ROUND(M15*'RATES-Fed'!G38,0)</f>
        <v>0</v>
      </c>
      <c r="O15" s="67">
        <f t="shared" si="1"/>
        <v>0</v>
      </c>
      <c r="P15" s="187">
        <f t="shared" si="7"/>
        <v>0</v>
      </c>
      <c r="Q15" s="156">
        <f>ROUND(P15*'RATES-Fed'!I38,0)</f>
        <v>0</v>
      </c>
      <c r="R15" s="67">
        <f t="shared" si="8"/>
        <v>0</v>
      </c>
      <c r="S15" s="187">
        <f t="shared" si="9"/>
        <v>0</v>
      </c>
      <c r="T15" s="156">
        <f>ROUND(S15*'RATES-Fed'!K38,0)</f>
        <v>0</v>
      </c>
      <c r="U15" s="67">
        <f t="shared" si="2"/>
        <v>0</v>
      </c>
      <c r="V15" s="187">
        <f t="shared" si="10"/>
        <v>0</v>
      </c>
      <c r="W15" s="156">
        <f>ROUND(V15*'RATES-Fed'!M38,0)</f>
        <v>0</v>
      </c>
      <c r="X15" s="67">
        <f t="shared" si="3"/>
        <v>0</v>
      </c>
      <c r="Y15" s="42">
        <f t="shared" si="11"/>
        <v>0</v>
      </c>
      <c r="Z15" s="1"/>
    </row>
    <row r="16" spans="1:25" ht="15.75">
      <c r="A16" s="1"/>
      <c r="B16" s="1"/>
      <c r="C16" s="3"/>
      <c r="D16" s="140" t="str">
        <f>IF(D15="ACAD",("SUMR"),"")</f>
        <v>SUMR</v>
      </c>
      <c r="E16" s="70">
        <v>0</v>
      </c>
      <c r="F16" s="99">
        <f t="shared" si="0"/>
        <v>0</v>
      </c>
      <c r="G16" s="69">
        <f>+G15*0.4375</f>
        <v>0</v>
      </c>
      <c r="J16" s="187">
        <f t="shared" si="4"/>
        <v>0</v>
      </c>
      <c r="K16" s="156">
        <f>ROUND(J16*'RATES-Fed'!E38,0)</f>
        <v>0</v>
      </c>
      <c r="L16" s="67">
        <f t="shared" si="5"/>
        <v>0</v>
      </c>
      <c r="M16" s="187">
        <f t="shared" si="6"/>
        <v>0</v>
      </c>
      <c r="N16" s="156">
        <f>ROUND(M16*'RATES-Fed'!G38,0)</f>
        <v>0</v>
      </c>
      <c r="O16" s="67">
        <f t="shared" si="1"/>
        <v>0</v>
      </c>
      <c r="P16" s="187">
        <f t="shared" si="7"/>
        <v>0</v>
      </c>
      <c r="Q16" s="156">
        <f>ROUND(P16*'RATES-Fed'!I38,0)</f>
        <v>0</v>
      </c>
      <c r="R16" s="67">
        <f t="shared" si="8"/>
        <v>0</v>
      </c>
      <c r="S16" s="187">
        <f t="shared" si="9"/>
        <v>0</v>
      </c>
      <c r="T16" s="156">
        <f>ROUND(S16*'RATES-Fed'!K38,0)</f>
        <v>0</v>
      </c>
      <c r="U16" s="67">
        <f t="shared" si="2"/>
        <v>0</v>
      </c>
      <c r="V16" s="187">
        <f t="shared" si="10"/>
        <v>0</v>
      </c>
      <c r="W16" s="156">
        <f>ROUND(V16*'RATES-Fed'!M38,0)</f>
        <v>0</v>
      </c>
      <c r="X16" s="67">
        <f t="shared" si="3"/>
        <v>0</v>
      </c>
      <c r="Y16" s="42">
        <f t="shared" si="11"/>
        <v>0</v>
      </c>
    </row>
    <row r="17" spans="1:26" ht="15.75">
      <c r="A17" s="1"/>
      <c r="B17" s="1" t="s">
        <v>15</v>
      </c>
      <c r="C17" s="3"/>
      <c r="D17" s="140" t="s">
        <v>130</v>
      </c>
      <c r="E17" s="70">
        <v>0</v>
      </c>
      <c r="F17" s="99">
        <f t="shared" si="0"/>
        <v>0</v>
      </c>
      <c r="G17" s="69">
        <v>0</v>
      </c>
      <c r="J17" s="187">
        <f t="shared" si="4"/>
        <v>0</v>
      </c>
      <c r="K17" s="156">
        <f>ROUND(J17*'RATES-Fed'!E38,0)</f>
        <v>0</v>
      </c>
      <c r="L17" s="285">
        <f t="shared" si="5"/>
        <v>0</v>
      </c>
      <c r="M17" s="193">
        <f t="shared" si="6"/>
        <v>0</v>
      </c>
      <c r="N17" s="286">
        <f>ROUND(M17*'RATES-Fed'!G38,0)</f>
        <v>0</v>
      </c>
      <c r="O17" s="285">
        <f t="shared" si="1"/>
        <v>0</v>
      </c>
      <c r="P17" s="193">
        <f t="shared" si="7"/>
        <v>0</v>
      </c>
      <c r="Q17" s="286">
        <f>ROUND(P17*'RATES-Fed'!I38,0)</f>
        <v>0</v>
      </c>
      <c r="R17" s="285">
        <f t="shared" si="8"/>
        <v>0</v>
      </c>
      <c r="S17" s="193">
        <f t="shared" si="9"/>
        <v>0</v>
      </c>
      <c r="T17" s="286">
        <f>ROUND(S17*'RATES-Fed'!K38,0)</f>
        <v>0</v>
      </c>
      <c r="U17" s="67">
        <f t="shared" si="2"/>
        <v>0</v>
      </c>
      <c r="V17" s="193">
        <f t="shared" si="10"/>
        <v>0</v>
      </c>
      <c r="W17" s="286">
        <f>ROUND(V17*'RATES-Fed'!M38,0)</f>
        <v>0</v>
      </c>
      <c r="X17" s="67">
        <f t="shared" si="3"/>
        <v>0</v>
      </c>
      <c r="Y17" s="42">
        <f t="shared" si="11"/>
        <v>0</v>
      </c>
      <c r="Z17" s="1"/>
    </row>
    <row r="18" spans="1:25" ht="15.75">
      <c r="A18" s="1"/>
      <c r="B18" s="1" t="s">
        <v>15</v>
      </c>
      <c r="C18" s="3"/>
      <c r="D18" s="140" t="s">
        <v>130</v>
      </c>
      <c r="E18" s="70">
        <v>0</v>
      </c>
      <c r="F18" s="99">
        <f t="shared" si="0"/>
        <v>0</v>
      </c>
      <c r="G18" s="69">
        <v>0</v>
      </c>
      <c r="J18" s="201">
        <f t="shared" si="4"/>
        <v>0</v>
      </c>
      <c r="K18" s="206">
        <f>ROUND(J18*'RATES-Fed'!E38,0)</f>
        <v>0</v>
      </c>
      <c r="L18" s="207">
        <f t="shared" si="5"/>
        <v>0</v>
      </c>
      <c r="M18" s="201">
        <f t="shared" si="6"/>
        <v>0</v>
      </c>
      <c r="N18" s="206">
        <f>ROUND(M18*'RATES-Fed'!G38,0)</f>
        <v>0</v>
      </c>
      <c r="O18" s="207">
        <f t="shared" si="1"/>
        <v>0</v>
      </c>
      <c r="P18" s="201">
        <f t="shared" si="7"/>
        <v>0</v>
      </c>
      <c r="Q18" s="206">
        <f>ROUND(P18*'RATES-Fed'!I38,0)</f>
        <v>0</v>
      </c>
      <c r="R18" s="207">
        <f t="shared" si="8"/>
        <v>0</v>
      </c>
      <c r="S18" s="201">
        <f t="shared" si="9"/>
        <v>0</v>
      </c>
      <c r="T18" s="206">
        <f>ROUND(S18*'RATES-Fed'!K38,0)</f>
        <v>0</v>
      </c>
      <c r="U18" s="207">
        <f t="shared" si="2"/>
        <v>0</v>
      </c>
      <c r="V18" s="201">
        <f t="shared" si="10"/>
        <v>0</v>
      </c>
      <c r="W18" s="206">
        <f>ROUND(V18*'RATES-Fed'!M38,0)</f>
        <v>0</v>
      </c>
      <c r="X18" s="207">
        <f t="shared" si="3"/>
        <v>0</v>
      </c>
      <c r="Y18" s="204">
        <f t="shared" si="11"/>
        <v>0</v>
      </c>
    </row>
    <row r="19" spans="1:26" ht="15.75">
      <c r="A19" s="1"/>
      <c r="B19" s="1"/>
      <c r="C19" s="1"/>
      <c r="D19" s="25" t="s">
        <v>16</v>
      </c>
      <c r="E19" s="26"/>
      <c r="F19" s="26"/>
      <c r="G19" s="1"/>
      <c r="H19" s="1"/>
      <c r="I19" s="1"/>
      <c r="J19" s="205">
        <f aca="true" t="shared" si="12" ref="J19:U19">SUM(J11:J18)</f>
        <v>0</v>
      </c>
      <c r="K19" s="157">
        <f t="shared" si="12"/>
        <v>0</v>
      </c>
      <c r="L19" s="46">
        <f t="shared" si="12"/>
        <v>0</v>
      </c>
      <c r="M19" s="205">
        <f t="shared" si="12"/>
        <v>0</v>
      </c>
      <c r="N19" s="157">
        <f t="shared" si="12"/>
        <v>0</v>
      </c>
      <c r="O19" s="46">
        <f t="shared" si="12"/>
        <v>0</v>
      </c>
      <c r="P19" s="205">
        <f t="shared" si="12"/>
        <v>0</v>
      </c>
      <c r="Q19" s="157">
        <f t="shared" si="12"/>
        <v>0</v>
      </c>
      <c r="R19" s="46">
        <f t="shared" si="12"/>
        <v>0</v>
      </c>
      <c r="S19" s="205">
        <f t="shared" si="12"/>
        <v>0</v>
      </c>
      <c r="T19" s="157">
        <f t="shared" si="12"/>
        <v>0</v>
      </c>
      <c r="U19" s="46">
        <f t="shared" si="12"/>
        <v>0</v>
      </c>
      <c r="V19" s="205">
        <f>SUM(V11:V18)</f>
        <v>0</v>
      </c>
      <c r="W19" s="157">
        <f>SUM(W11:W18)</f>
        <v>0</v>
      </c>
      <c r="X19" s="46">
        <f>SUM(X11:X18)</f>
        <v>0</v>
      </c>
      <c r="Y19" s="42">
        <f>SUM(Y11:Y18)</f>
        <v>0</v>
      </c>
      <c r="Z19" s="6"/>
    </row>
    <row r="20" spans="1:24" ht="15.75">
      <c r="A20" s="21" t="s">
        <v>274</v>
      </c>
      <c r="B20" s="21" t="s">
        <v>275</v>
      </c>
      <c r="C20" s="1"/>
      <c r="D20" s="25"/>
      <c r="E20" s="26"/>
      <c r="F20" s="26"/>
      <c r="G20" s="1"/>
      <c r="H20" s="1"/>
      <c r="I20" s="1"/>
      <c r="J20" s="205"/>
      <c r="K20" s="157"/>
      <c r="L20" s="46"/>
      <c r="M20" s="42"/>
      <c r="N20" s="6"/>
      <c r="O20"/>
      <c r="Q20"/>
      <c r="R20"/>
      <c r="T20"/>
      <c r="U20"/>
      <c r="V20"/>
      <c r="W20"/>
      <c r="X20"/>
    </row>
    <row r="21" spans="1:25" ht="15.75">
      <c r="A21" s="1"/>
      <c r="B21" s="1" t="s">
        <v>15</v>
      </c>
      <c r="C21" s="3"/>
      <c r="D21" s="140" t="s">
        <v>130</v>
      </c>
      <c r="E21" s="70">
        <v>0</v>
      </c>
      <c r="F21" s="99">
        <f>IF(D21="CAL",(52*E21/4.3333),(IF(D21="ACAD",(32*E21/4.33333),IF(D21="SUMR",(14*E21/4.33333),IF(D21="PT",(0),0)))))</f>
        <v>0</v>
      </c>
      <c r="G21" s="69">
        <v>0</v>
      </c>
      <c r="J21" s="187">
        <f>ROUND(G21*E21,0)</f>
        <v>0</v>
      </c>
      <c r="K21" s="156">
        <f>ROUND(J21*'RATES-Fed'!E40,0)</f>
        <v>0</v>
      </c>
      <c r="L21" s="67">
        <f>ROUND(K21+J21,0)</f>
        <v>0</v>
      </c>
      <c r="M21" s="187">
        <f>ROUND((J21*1.02),0)</f>
        <v>0</v>
      </c>
      <c r="N21" s="156">
        <f>ROUND(M21*'RATES-Fed'!G40,0)</f>
        <v>0</v>
      </c>
      <c r="O21" s="67">
        <f>ROUND(M21+N21,0)</f>
        <v>0</v>
      </c>
      <c r="P21" s="187">
        <f>ROUND((M21*1.02),0)</f>
        <v>0</v>
      </c>
      <c r="Q21" s="156">
        <f>ROUND(P21*'RATES-Fed'!I40,0)</f>
        <v>0</v>
      </c>
      <c r="R21" s="67">
        <f>ROUND(P21+Q21,0)</f>
        <v>0</v>
      </c>
      <c r="S21" s="187">
        <f>ROUND((P21*1.02),0)</f>
        <v>0</v>
      </c>
      <c r="T21" s="156">
        <f>ROUND(S21*'RATES-Fed'!K40,0)</f>
        <v>0</v>
      </c>
      <c r="U21" s="76">
        <f>SUM(S21:T21)</f>
        <v>0</v>
      </c>
      <c r="V21" s="187">
        <f>ROUND((S21*1.02),0)</f>
        <v>0</v>
      </c>
      <c r="W21" s="156">
        <f>ROUND(V21*'RATES-Fed'!M40,0)</f>
        <v>0</v>
      </c>
      <c r="X21" s="76">
        <f>SUM(V21:W21)</f>
        <v>0</v>
      </c>
      <c r="Y21" s="42">
        <f>SUM(L21+O21+R21+U21+X21)</f>
        <v>0</v>
      </c>
    </row>
    <row r="22" spans="1:25" ht="15.75">
      <c r="A22" s="1"/>
      <c r="B22" s="1" t="s">
        <v>15</v>
      </c>
      <c r="C22" s="3"/>
      <c r="D22" s="140" t="s">
        <v>130</v>
      </c>
      <c r="E22" s="70">
        <v>0</v>
      </c>
      <c r="F22" s="99">
        <f>IF(D22="CAL",(52*E22/4.3333),(IF(D22="ACAD",(32*E22/4.33333),IF(D22="SUMR",(14*E22/4.33333),IF(D22="PT",(0),0)))))</f>
        <v>0</v>
      </c>
      <c r="G22" s="69">
        <v>0</v>
      </c>
      <c r="J22" s="187">
        <f>ROUND(G22*E22,0)</f>
        <v>0</v>
      </c>
      <c r="K22" s="156">
        <f>ROUND(J22*'RATES-Fed'!E40,0)</f>
        <v>0</v>
      </c>
      <c r="L22" s="67">
        <f>ROUND(K22+J22,0)</f>
        <v>0</v>
      </c>
      <c r="M22" s="187">
        <f>ROUND((J22*1.02),0)</f>
        <v>0</v>
      </c>
      <c r="N22" s="156">
        <f>ROUND(M22*'RATES-Fed'!G40,0)</f>
        <v>0</v>
      </c>
      <c r="O22" s="67">
        <f>ROUND(M22+N22,0)</f>
        <v>0</v>
      </c>
      <c r="P22" s="187">
        <f>ROUND((M22*1.02),0)</f>
        <v>0</v>
      </c>
      <c r="Q22" s="156">
        <f>ROUND(P22*'RATES-Fed'!I40,0)</f>
        <v>0</v>
      </c>
      <c r="R22" s="67">
        <f>ROUND(P22+Q22,0)</f>
        <v>0</v>
      </c>
      <c r="S22" s="187">
        <f>ROUND((P22*1.02),0)</f>
        <v>0</v>
      </c>
      <c r="T22" s="156">
        <f>ROUND(S22*'RATES-Fed'!K40,0)</f>
        <v>0</v>
      </c>
      <c r="U22" s="76">
        <f>SUM(S22:T22)</f>
        <v>0</v>
      </c>
      <c r="V22" s="187">
        <f>ROUND((S22*1.02),0)</f>
        <v>0</v>
      </c>
      <c r="W22" s="156">
        <f>ROUND(V22*'RATES-Fed'!M40,0)</f>
        <v>0</v>
      </c>
      <c r="X22" s="76">
        <f>SUM(V22:W22)</f>
        <v>0</v>
      </c>
      <c r="Y22" s="42">
        <f>SUM(L22+O22+R22+U22+X22)</f>
        <v>0</v>
      </c>
    </row>
    <row r="23" spans="1:25" ht="15.75">
      <c r="A23" s="1"/>
      <c r="B23" s="1" t="s">
        <v>15</v>
      </c>
      <c r="C23" s="3"/>
      <c r="D23" s="140" t="s">
        <v>130</v>
      </c>
      <c r="E23" s="70">
        <v>0</v>
      </c>
      <c r="F23" s="99">
        <f>IF(D23="CAL",(52*E23/4.3333),(IF(D23="ACAD",(32*E23/4.33333),IF(D23="SUMR",(14*E23/4.33333),IF(D23="PT",(0),0)))))</f>
        <v>0</v>
      </c>
      <c r="G23" s="69">
        <v>0</v>
      </c>
      <c r="J23" s="187">
        <f>ROUND(G23*E23,0)</f>
        <v>0</v>
      </c>
      <c r="K23" s="156">
        <f>ROUND(J23*'RATES-Fed'!E40,0)</f>
        <v>0</v>
      </c>
      <c r="L23" s="67">
        <f>ROUND(K23+J23,0)</f>
        <v>0</v>
      </c>
      <c r="M23" s="187">
        <f>ROUND((J23*1.02),0)</f>
        <v>0</v>
      </c>
      <c r="N23" s="156">
        <f>ROUND(M23*'RATES-Fed'!G40,0)</f>
        <v>0</v>
      </c>
      <c r="O23" s="67">
        <f>ROUND(M23+N23,0)</f>
        <v>0</v>
      </c>
      <c r="P23" s="187">
        <f>ROUND((M23*1.02),0)</f>
        <v>0</v>
      </c>
      <c r="Q23" s="156">
        <f>ROUND(P23*'RATES-Fed'!I40,0)</f>
        <v>0</v>
      </c>
      <c r="R23" s="67">
        <f>ROUND(P23+Q23,0)</f>
        <v>0</v>
      </c>
      <c r="S23" s="187">
        <f>ROUND((P23*1.02),0)</f>
        <v>0</v>
      </c>
      <c r="T23" s="156">
        <f>ROUND(S23*'RATES-Fed'!K40,0)</f>
        <v>0</v>
      </c>
      <c r="U23" s="76">
        <f>SUM(S23:T23)</f>
        <v>0</v>
      </c>
      <c r="V23" s="187">
        <f>ROUND((S23*1.02),0)</f>
        <v>0</v>
      </c>
      <c r="W23" s="156">
        <f>ROUND(V23*'RATES-Fed'!M40,0)</f>
        <v>0</v>
      </c>
      <c r="X23" s="76">
        <f>SUM(V23:W23)</f>
        <v>0</v>
      </c>
      <c r="Y23" s="42">
        <f>SUM(L23+O23+R23+U23+X23)</f>
        <v>0</v>
      </c>
    </row>
    <row r="24" spans="1:25" ht="15.75">
      <c r="A24" s="1"/>
      <c r="B24" s="1" t="s">
        <v>15</v>
      </c>
      <c r="C24" s="3"/>
      <c r="D24" s="140" t="s">
        <v>130</v>
      </c>
      <c r="E24" s="70">
        <v>0</v>
      </c>
      <c r="F24" s="99">
        <f>IF(D24="CAL",(52*E24/4.3333),(IF(D24="ACAD",(32*E24/4.33333),IF(D24="SUMR",(14*E24/4.33333),IF(D24="PT",(0),0)))))</f>
        <v>0</v>
      </c>
      <c r="G24" s="69">
        <v>0</v>
      </c>
      <c r="J24" s="187">
        <f>ROUND(G24*E24,0)</f>
        <v>0</v>
      </c>
      <c r="K24" s="206">
        <f>ROUND(J24*'RATES-Fed'!E40,0)</f>
        <v>0</v>
      </c>
      <c r="L24" s="207">
        <f>ROUND(K24+J24,0)</f>
        <v>0</v>
      </c>
      <c r="M24" s="201">
        <f>ROUND((J24*1.02),0)</f>
        <v>0</v>
      </c>
      <c r="N24" s="206">
        <f>ROUND(M24*'RATES-Fed'!G40,0)</f>
        <v>0</v>
      </c>
      <c r="O24" s="207">
        <f>ROUND(M24+N24,0)</f>
        <v>0</v>
      </c>
      <c r="P24" s="201">
        <f>ROUND((M24*1.02),0)</f>
        <v>0</v>
      </c>
      <c r="Q24" s="206">
        <f>ROUND(P24*'RATES-Fed'!I40,0)</f>
        <v>0</v>
      </c>
      <c r="R24" s="207">
        <f>ROUND(P24+Q24,0)</f>
        <v>0</v>
      </c>
      <c r="S24" s="201">
        <f>ROUND((P24*1.02),0)</f>
        <v>0</v>
      </c>
      <c r="T24" s="206">
        <f>ROUND(S24*'RATES-Fed'!K40,0)</f>
        <v>0</v>
      </c>
      <c r="U24" s="287">
        <f>SUM(S24:T24)</f>
        <v>0</v>
      </c>
      <c r="V24" s="201">
        <f>ROUND((S24*1.02),0)</f>
        <v>0</v>
      </c>
      <c r="W24" s="206">
        <f>ROUND(V24*'RATES-Fed'!M40,0)</f>
        <v>0</v>
      </c>
      <c r="X24" s="287">
        <f>SUM(V24:W24)</f>
        <v>0</v>
      </c>
      <c r="Y24" s="204">
        <f>SUM(L24+O24+R24+U24+X24)</f>
        <v>0</v>
      </c>
    </row>
    <row r="25" spans="1:25" ht="15.75">
      <c r="A25" s="1"/>
      <c r="B25" s="1"/>
      <c r="C25" s="1"/>
      <c r="D25" s="25" t="s">
        <v>279</v>
      </c>
      <c r="E25" s="26"/>
      <c r="F25" s="26"/>
      <c r="G25" s="1"/>
      <c r="H25" s="1"/>
      <c r="I25" s="1"/>
      <c r="J25" s="191">
        <f aca="true" t="shared" si="13" ref="J25:T25">SUM(J21:J24)</f>
        <v>0</v>
      </c>
      <c r="K25" s="157">
        <f t="shared" si="13"/>
        <v>0</v>
      </c>
      <c r="L25" s="46">
        <f t="shared" si="13"/>
        <v>0</v>
      </c>
      <c r="M25" s="76">
        <f t="shared" si="13"/>
        <v>0</v>
      </c>
      <c r="N25" s="6">
        <f t="shared" si="13"/>
        <v>0</v>
      </c>
      <c r="O25" s="76">
        <f t="shared" si="13"/>
        <v>0</v>
      </c>
      <c r="P25" s="42">
        <f t="shared" si="13"/>
        <v>0</v>
      </c>
      <c r="Q25" s="42">
        <f t="shared" si="13"/>
        <v>0</v>
      </c>
      <c r="R25" s="76">
        <f t="shared" si="13"/>
        <v>0</v>
      </c>
      <c r="S25" s="42">
        <f t="shared" si="13"/>
        <v>0</v>
      </c>
      <c r="T25" s="42">
        <f t="shared" si="13"/>
        <v>0</v>
      </c>
      <c r="U25" s="76">
        <f>SUM(U21:U24)</f>
        <v>0</v>
      </c>
      <c r="V25" s="42">
        <f>SUM(V21:V24)</f>
        <v>0</v>
      </c>
      <c r="W25" s="42">
        <f>SUM(W21:W24)</f>
        <v>0</v>
      </c>
      <c r="X25" s="76">
        <f>SUM(X21:X24)</f>
        <v>0</v>
      </c>
      <c r="Y25" s="42">
        <f>SUM(Y21:Y24)</f>
        <v>0</v>
      </c>
    </row>
    <row r="26" spans="1:25" ht="7.5" customHeight="1">
      <c r="A26" s="1"/>
      <c r="B26" s="1"/>
      <c r="C26" s="1"/>
      <c r="D26" s="26"/>
      <c r="E26" s="26"/>
      <c r="F26" s="26"/>
      <c r="G26" s="1"/>
      <c r="H26" s="1"/>
      <c r="I26" s="1"/>
      <c r="J26" s="192"/>
      <c r="K26" s="157"/>
      <c r="L26" s="46"/>
      <c r="M26" s="186"/>
      <c r="N26" s="157"/>
      <c r="O26" s="46"/>
      <c r="P26" s="186"/>
      <c r="Q26" s="157"/>
      <c r="R26" s="46"/>
      <c r="T26" s="6"/>
      <c r="U26"/>
      <c r="V26"/>
      <c r="W26" s="6"/>
      <c r="X26"/>
      <c r="Y26" s="42"/>
    </row>
    <row r="27" spans="1:25" ht="15.75">
      <c r="A27" s="22" t="s">
        <v>276</v>
      </c>
      <c r="B27" s="22" t="s">
        <v>17</v>
      </c>
      <c r="C27" s="1"/>
      <c r="D27" s="26"/>
      <c r="E27" s="1"/>
      <c r="F27" s="1"/>
      <c r="G27" s="41"/>
      <c r="H27" s="1"/>
      <c r="I27" s="1"/>
      <c r="J27" s="190"/>
      <c r="K27" s="153"/>
      <c r="L27" s="143"/>
      <c r="M27" s="190"/>
      <c r="N27" s="157"/>
      <c r="O27" s="46"/>
      <c r="P27" s="190"/>
      <c r="Q27" s="157"/>
      <c r="R27" s="46"/>
      <c r="T27" s="6"/>
      <c r="U27"/>
      <c r="V27"/>
      <c r="W27" s="6"/>
      <c r="X27"/>
      <c r="Y27" s="42"/>
    </row>
    <row r="28" spans="1:25" ht="15.75">
      <c r="A28" s="1"/>
      <c r="C28" s="13" t="s">
        <v>88</v>
      </c>
      <c r="D28" s="41" t="s">
        <v>127</v>
      </c>
      <c r="E28" s="68"/>
      <c r="F28" s="68"/>
      <c r="G28" s="59"/>
      <c r="J28" s="187"/>
      <c r="K28" s="274"/>
      <c r="L28" s="50"/>
      <c r="M28" s="187"/>
      <c r="N28" s="275"/>
      <c r="O28" s="148"/>
      <c r="P28" s="187"/>
      <c r="Q28" s="275"/>
      <c r="R28" s="148"/>
      <c r="T28" s="5"/>
      <c r="U28"/>
      <c r="V28"/>
      <c r="W28" s="5"/>
      <c r="X28"/>
      <c r="Y28" s="42"/>
    </row>
    <row r="29" spans="1:25" ht="15.75">
      <c r="A29" s="1"/>
      <c r="C29" s="13"/>
      <c r="D29" s="97"/>
      <c r="E29" s="70">
        <v>0</v>
      </c>
      <c r="F29" s="98">
        <f>SUM(52*E29/4.33)</f>
        <v>0</v>
      </c>
      <c r="G29" s="69">
        <v>0</v>
      </c>
      <c r="J29" s="187">
        <f>ROUND(G29*E29,0)</f>
        <v>0</v>
      </c>
      <c r="K29" s="274">
        <f>ROUND(J29*'RATES-Fed'!E39,0)</f>
        <v>0</v>
      </c>
      <c r="L29" s="50">
        <f>SUM(J29:K29)</f>
        <v>0</v>
      </c>
      <c r="M29" s="187">
        <f>ROUND(J29*1.02,0)</f>
        <v>0</v>
      </c>
      <c r="N29" s="274">
        <f>ROUND(M29*'RATES-Fed'!G39,0)</f>
        <v>0</v>
      </c>
      <c r="O29" s="50">
        <f>SUM(M29:N29)</f>
        <v>0</v>
      </c>
      <c r="P29" s="187">
        <f>ROUND(M29*1.02,0)</f>
        <v>0</v>
      </c>
      <c r="Q29" s="274">
        <f>ROUND(P29*'RATES-Fed'!I39,0)</f>
        <v>0</v>
      </c>
      <c r="R29" s="50">
        <f>SUM(P29:Q29)</f>
        <v>0</v>
      </c>
      <c r="S29" s="187">
        <f>ROUND(P29*1.02,0)</f>
        <v>0</v>
      </c>
      <c r="T29" s="274">
        <f>ROUND(S29*'RATES-Fed'!K39,0)</f>
        <v>0</v>
      </c>
      <c r="U29" s="50">
        <f>SUM(S29:T29)</f>
        <v>0</v>
      </c>
      <c r="V29" s="187">
        <f>ROUND(S29*1.02,0)</f>
        <v>0</v>
      </c>
      <c r="W29" s="274">
        <f>ROUND(V29*'RATES-Fed'!M39,0)</f>
        <v>0</v>
      </c>
      <c r="X29" s="50">
        <f>SUM(V29:W29)</f>
        <v>0</v>
      </c>
      <c r="Y29" s="42">
        <f>SUM(L29+O29+R29+U29+X29)</f>
        <v>0</v>
      </c>
    </row>
    <row r="30" spans="1:25" ht="15.75">
      <c r="A30" s="1"/>
      <c r="C30" s="13"/>
      <c r="D30" s="1"/>
      <c r="E30" s="70">
        <v>0</v>
      </c>
      <c r="F30" s="98">
        <f>SUM(52*E30/4.33)</f>
        <v>0</v>
      </c>
      <c r="G30" s="69">
        <v>0</v>
      </c>
      <c r="J30" s="187">
        <f>ROUND(G30*E30,0)</f>
        <v>0</v>
      </c>
      <c r="K30" s="274">
        <f>ROUND(J30*'RATES-Fed'!E39,0)</f>
        <v>0</v>
      </c>
      <c r="L30" s="50">
        <f>SUM(J30:K30)</f>
        <v>0</v>
      </c>
      <c r="M30" s="187">
        <f>ROUND(J30*1.02,0)</f>
        <v>0</v>
      </c>
      <c r="N30" s="274">
        <f>ROUND(M30*'RATES-Fed'!G39,0)</f>
        <v>0</v>
      </c>
      <c r="O30" s="50">
        <f>SUM(M30:N30)</f>
        <v>0</v>
      </c>
      <c r="P30" s="187">
        <f>ROUND(M30*1.02,0)</f>
        <v>0</v>
      </c>
      <c r="Q30" s="274">
        <f>ROUND(P30*'RATES-Fed'!I39,0)</f>
        <v>0</v>
      </c>
      <c r="R30" s="50">
        <f>SUM(P30:Q30)</f>
        <v>0</v>
      </c>
      <c r="S30" s="187">
        <f>ROUND(P30*1.02,0)</f>
        <v>0</v>
      </c>
      <c r="T30" s="274">
        <f>ROUND(S30*'RATES-Fed'!K39,0)</f>
        <v>0</v>
      </c>
      <c r="U30" s="50">
        <f>SUM(S30:T30)</f>
        <v>0</v>
      </c>
      <c r="V30" s="187">
        <f>ROUND(S30*1.02,0)</f>
        <v>0</v>
      </c>
      <c r="W30" s="274">
        <f>ROUND(V30*'RATES-Fed'!M39,0)</f>
        <v>0</v>
      </c>
      <c r="X30" s="50">
        <f>SUM(V30:W30)</f>
        <v>0</v>
      </c>
      <c r="Y30" s="42">
        <f>SUM(L30+O30+R30+U30+X30)</f>
        <v>0</v>
      </c>
    </row>
    <row r="31" spans="1:25" ht="15.75">
      <c r="A31" s="1"/>
      <c r="C31" s="13"/>
      <c r="D31" s="1"/>
      <c r="E31" s="70">
        <v>0</v>
      </c>
      <c r="F31" s="98">
        <f>SUM(52*E31/4.33)</f>
        <v>0</v>
      </c>
      <c r="G31" s="69">
        <v>0</v>
      </c>
      <c r="J31" s="201">
        <f>ROUND(G31*E31,0)</f>
        <v>0</v>
      </c>
      <c r="K31" s="202">
        <f>ROUND(J31*'RATES-Fed'!E39,0)</f>
        <v>0</v>
      </c>
      <c r="L31" s="203">
        <f>SUM(J31:K31)</f>
        <v>0</v>
      </c>
      <c r="M31" s="201">
        <f>ROUND(J31*1.02,0)</f>
        <v>0</v>
      </c>
      <c r="N31" s="202">
        <f>ROUND(M31*'RATES-Fed'!G39,0)</f>
        <v>0</v>
      </c>
      <c r="O31" s="203">
        <f>SUM(M31:N31)</f>
        <v>0</v>
      </c>
      <c r="P31" s="201">
        <f>ROUND(M31*1.02,0)</f>
        <v>0</v>
      </c>
      <c r="Q31" s="202">
        <f>ROUND(P31*'RATES-Fed'!I39,0)</f>
        <v>0</v>
      </c>
      <c r="R31" s="203">
        <f>SUM(P31:Q31)</f>
        <v>0</v>
      </c>
      <c r="S31" s="201">
        <f>ROUND(P31*1.02,0)</f>
        <v>0</v>
      </c>
      <c r="T31" s="202">
        <f>ROUND(S31*'RATES-Fed'!K39,0)</f>
        <v>0</v>
      </c>
      <c r="U31" s="203">
        <f>SUM(S31:T31)</f>
        <v>0</v>
      </c>
      <c r="V31" s="201">
        <f>ROUND(S31*1.02,0)</f>
        <v>0</v>
      </c>
      <c r="W31" s="202">
        <f>ROUND(V31*'RATES-Fed'!M39,0)</f>
        <v>0</v>
      </c>
      <c r="X31" s="203">
        <f>SUM(V31:W31)</f>
        <v>0</v>
      </c>
      <c r="Y31" s="42">
        <f>SUM(L31+O31+R31+U31+X31)</f>
        <v>0</v>
      </c>
    </row>
    <row r="32" spans="1:25" ht="15.75">
      <c r="A32" s="1"/>
      <c r="C32" s="13"/>
      <c r="D32" s="1" t="s">
        <v>128</v>
      </c>
      <c r="E32" s="70"/>
      <c r="F32" s="70"/>
      <c r="G32" s="69"/>
      <c r="J32" s="193">
        <f aca="true" t="shared" si="14" ref="J32:R32">SUM(J29:J31)</f>
        <v>0</v>
      </c>
      <c r="K32" s="274">
        <f t="shared" si="14"/>
        <v>0</v>
      </c>
      <c r="L32" s="50">
        <f t="shared" si="14"/>
        <v>0</v>
      </c>
      <c r="M32" s="193">
        <f t="shared" si="14"/>
        <v>0</v>
      </c>
      <c r="N32" s="275">
        <f t="shared" si="14"/>
        <v>0</v>
      </c>
      <c r="O32" s="148">
        <f t="shared" si="14"/>
        <v>0</v>
      </c>
      <c r="P32" s="193">
        <f t="shared" si="14"/>
        <v>0</v>
      </c>
      <c r="Q32" s="275">
        <f t="shared" si="14"/>
        <v>0</v>
      </c>
      <c r="R32" s="148">
        <f t="shared" si="14"/>
        <v>0</v>
      </c>
      <c r="S32" s="193">
        <f aca="true" t="shared" si="15" ref="S32:Y32">SUM(S29:S31)</f>
        <v>0</v>
      </c>
      <c r="T32" s="275">
        <f t="shared" si="15"/>
        <v>0</v>
      </c>
      <c r="U32" s="148">
        <f t="shared" si="15"/>
        <v>0</v>
      </c>
      <c r="V32" s="193">
        <f t="shared" si="15"/>
        <v>0</v>
      </c>
      <c r="W32" s="275">
        <f t="shared" si="15"/>
        <v>0</v>
      </c>
      <c r="X32" s="148">
        <f t="shared" si="15"/>
        <v>0</v>
      </c>
      <c r="Y32" s="42">
        <f t="shared" si="15"/>
        <v>0</v>
      </c>
    </row>
    <row r="33" spans="1:25" ht="9.75" customHeight="1">
      <c r="A33" s="1"/>
      <c r="C33" s="13"/>
      <c r="D33" s="1"/>
      <c r="E33" s="70"/>
      <c r="F33" s="70"/>
      <c r="G33" s="69"/>
      <c r="J33" s="193"/>
      <c r="K33" s="274"/>
      <c r="L33" s="50"/>
      <c r="M33" s="193"/>
      <c r="N33" s="275"/>
      <c r="O33" s="148"/>
      <c r="P33" s="193"/>
      <c r="Q33" s="275"/>
      <c r="R33" s="148"/>
      <c r="T33" s="5"/>
      <c r="U33"/>
      <c r="V33"/>
      <c r="W33" s="5"/>
      <c r="X33"/>
      <c r="Y33" s="42"/>
    </row>
    <row r="34" spans="1:25" ht="15.75">
      <c r="A34" s="1"/>
      <c r="C34" s="13" t="s">
        <v>89</v>
      </c>
      <c r="D34" s="1"/>
      <c r="E34" s="70">
        <v>0</v>
      </c>
      <c r="F34" s="98">
        <f>SUM(52*E34/4.33)</f>
        <v>0</v>
      </c>
      <c r="G34" s="69">
        <v>0</v>
      </c>
      <c r="J34" s="187">
        <f>ROUND(G34*E34,0)</f>
        <v>0</v>
      </c>
      <c r="K34" s="274">
        <f>ROUND(J34*'RATES-Fed'!E43,0)</f>
        <v>0</v>
      </c>
      <c r="L34" s="50">
        <f>SUM(J34:K34)</f>
        <v>0</v>
      </c>
      <c r="M34" s="187">
        <f>ROUND((J34*1.02),0)</f>
        <v>0</v>
      </c>
      <c r="N34" s="274">
        <f>ROUND(M34*'RATES-Fed'!G43,0)</f>
        <v>0</v>
      </c>
      <c r="O34" s="50">
        <f>SUM(M34:N34)</f>
        <v>0</v>
      </c>
      <c r="P34" s="187">
        <f>ROUND((M34*1.02),0)</f>
        <v>0</v>
      </c>
      <c r="Q34" s="274">
        <f>ROUND(P34*'RATES-Fed'!I43,0)</f>
        <v>0</v>
      </c>
      <c r="R34" s="50">
        <f>SUM(P34:Q34)</f>
        <v>0</v>
      </c>
      <c r="S34" s="187">
        <f>ROUND((P34*1.02),0)</f>
        <v>0</v>
      </c>
      <c r="T34" s="274">
        <f>ROUND(S34*'RATES-Fed'!K43,0)</f>
        <v>0</v>
      </c>
      <c r="U34" s="50">
        <f>SUM(S34:T34)</f>
        <v>0</v>
      </c>
      <c r="V34" s="187">
        <f>ROUND((S34*1.02),0)</f>
        <v>0</v>
      </c>
      <c r="W34" s="274">
        <f>ROUND(V34*'RATES-Fed'!M43,0)</f>
        <v>0</v>
      </c>
      <c r="X34" s="50">
        <f>SUM(V34:W34)</f>
        <v>0</v>
      </c>
      <c r="Y34" s="42">
        <f>SUM(L34+O34+R34+U34+X34)</f>
        <v>0</v>
      </c>
    </row>
    <row r="35" spans="1:25" ht="15.75">
      <c r="A35" s="1"/>
      <c r="C35" s="13" t="s">
        <v>18</v>
      </c>
      <c r="D35" s="1"/>
      <c r="E35" s="70">
        <v>0</v>
      </c>
      <c r="F35" s="98">
        <f>SUM(52*E35/4.33)</f>
        <v>0</v>
      </c>
      <c r="G35" s="69">
        <v>0</v>
      </c>
      <c r="J35" s="187">
        <f>ROUND(G35*E35,0)</f>
        <v>0</v>
      </c>
      <c r="K35" s="274">
        <f>ROUND(J35*'RATES-Fed'!E42,0)</f>
        <v>0</v>
      </c>
      <c r="L35" s="50">
        <f>SUM(J35:K35)</f>
        <v>0</v>
      </c>
      <c r="M35" s="187">
        <f>ROUND((J35*1.02),0)</f>
        <v>0</v>
      </c>
      <c r="N35" s="274">
        <f>ROUND(M35*'RATES-Fed'!G42,0)</f>
        <v>0</v>
      </c>
      <c r="O35" s="50">
        <f>SUM(M35:N35)</f>
        <v>0</v>
      </c>
      <c r="P35" s="187">
        <f>ROUND((M35*1.02),0)</f>
        <v>0</v>
      </c>
      <c r="Q35" s="274">
        <f>ROUND(P35*'RATES-Fed'!I42,0)</f>
        <v>0</v>
      </c>
      <c r="R35" s="50">
        <f>SUM(P35:Q35)</f>
        <v>0</v>
      </c>
      <c r="S35" s="187">
        <f>ROUND((P35*1.02),0)</f>
        <v>0</v>
      </c>
      <c r="T35" s="274">
        <f>ROUND(S35*'RATES-Fed'!K42,0)</f>
        <v>0</v>
      </c>
      <c r="U35" s="50">
        <f>SUM(S35:T35)</f>
        <v>0</v>
      </c>
      <c r="V35" s="187">
        <f>ROUND((S35*1.02),0)</f>
        <v>0</v>
      </c>
      <c r="W35" s="274">
        <f>ROUND(V35*'RATES-Fed'!M42,0)</f>
        <v>0</v>
      </c>
      <c r="X35" s="50">
        <f>SUM(V35:W35)</f>
        <v>0</v>
      </c>
      <c r="Y35" s="42">
        <f>SUM(L35+O35+R35+U35+X35)</f>
        <v>0</v>
      </c>
    </row>
    <row r="36" spans="1:25" ht="15.75">
      <c r="A36" s="1"/>
      <c r="C36" s="13" t="s">
        <v>19</v>
      </c>
      <c r="D36" s="1"/>
      <c r="E36" s="70">
        <v>0</v>
      </c>
      <c r="F36" s="98">
        <f>SUM(52*E36/4.33)</f>
        <v>0</v>
      </c>
      <c r="G36" s="69">
        <v>0</v>
      </c>
      <c r="J36" s="187">
        <f>ROUND(G36*E36,0)</f>
        <v>0</v>
      </c>
      <c r="K36" s="274">
        <f>ROUND(J36*'RATES-Fed'!E42,0)</f>
        <v>0</v>
      </c>
      <c r="L36" s="50">
        <f>SUM(J36:K36)</f>
        <v>0</v>
      </c>
      <c r="M36" s="187">
        <f>ROUND((J36*1.02),0)</f>
        <v>0</v>
      </c>
      <c r="N36" s="274">
        <f>ROUND(M36*'RATES-Fed'!G42,0)</f>
        <v>0</v>
      </c>
      <c r="O36" s="50">
        <f>SUM(M36:N36)</f>
        <v>0</v>
      </c>
      <c r="P36" s="187">
        <f>ROUND((M36*1.02),0)</f>
        <v>0</v>
      </c>
      <c r="Q36" s="274">
        <f>ROUND(P36*'RATES-Fed'!I42,0)</f>
        <v>0</v>
      </c>
      <c r="R36" s="50">
        <f>SUM(P36:Q36)</f>
        <v>0</v>
      </c>
      <c r="S36" s="187">
        <f>ROUND((P36*1.02),0)</f>
        <v>0</v>
      </c>
      <c r="T36" s="274">
        <f>ROUND(S36*'RATES-Fed'!K42,0)</f>
        <v>0</v>
      </c>
      <c r="U36" s="50">
        <f>SUM(S36:T36)</f>
        <v>0</v>
      </c>
      <c r="V36" s="187">
        <f>ROUND((S36*1.02),0)</f>
        <v>0</v>
      </c>
      <c r="W36" s="274">
        <f>ROUND(V36*'RATES-Fed'!M42,0)</f>
        <v>0</v>
      </c>
      <c r="X36" s="50">
        <f>SUM(V36:W36)</f>
        <v>0</v>
      </c>
      <c r="Y36" s="42">
        <f>SUM(L36+O36+R36+U36+X36)</f>
        <v>0</v>
      </c>
    </row>
    <row r="37" spans="1:25" s="94" customFormat="1" ht="15.75">
      <c r="A37" s="143"/>
      <c r="C37" s="142" t="s">
        <v>20</v>
      </c>
      <c r="D37" s="143"/>
      <c r="E37" s="70">
        <v>0</v>
      </c>
      <c r="F37" s="98">
        <f>SUM(52*E37/4.33)</f>
        <v>0</v>
      </c>
      <c r="G37" s="69">
        <v>0</v>
      </c>
      <c r="J37" s="187">
        <f>ROUND(G37*E37,0)</f>
        <v>0</v>
      </c>
      <c r="K37" s="274">
        <f>ROUND(J37*'RATES-Fed'!E43,0)</f>
        <v>0</v>
      </c>
      <c r="L37" s="50">
        <f>SUM(J37:K37)</f>
        <v>0</v>
      </c>
      <c r="M37" s="187">
        <f>ROUND((J37*1.02),0)</f>
        <v>0</v>
      </c>
      <c r="N37" s="274">
        <f>ROUND(M37*'RATES-Fed'!G43,0)</f>
        <v>0</v>
      </c>
      <c r="O37" s="50">
        <f>SUM(M37:N37)</f>
        <v>0</v>
      </c>
      <c r="P37" s="187">
        <f>ROUND((M37*1.02),0)</f>
        <v>0</v>
      </c>
      <c r="Q37" s="274">
        <f>ROUND(P37*'RATES-Fed'!I43,0)</f>
        <v>0</v>
      </c>
      <c r="R37" s="50">
        <f>SUM(P37:Q37)</f>
        <v>0</v>
      </c>
      <c r="S37" s="187">
        <f>ROUND((P37*1.02),0)</f>
        <v>0</v>
      </c>
      <c r="T37" s="274">
        <f>ROUND(S37*'RATES-Fed'!K43,0)</f>
        <v>0</v>
      </c>
      <c r="U37" s="50">
        <f>SUM(S37:T37)</f>
        <v>0</v>
      </c>
      <c r="V37" s="187">
        <f>ROUND((S37*1.02),0)</f>
        <v>0</v>
      </c>
      <c r="W37" s="274">
        <f>ROUND(V37*'RATES-Fed'!M43,0)</f>
        <v>0</v>
      </c>
      <c r="X37" s="50">
        <f>SUM(V37:W37)</f>
        <v>0</v>
      </c>
      <c r="Y37" s="42">
        <f>SUM(L37+O37+R37+U37+X37)</f>
        <v>0</v>
      </c>
    </row>
    <row r="38" spans="1:26" s="94" customFormat="1" ht="15.75">
      <c r="A38" s="143"/>
      <c r="C38" s="142" t="s">
        <v>90</v>
      </c>
      <c r="D38" s="143"/>
      <c r="E38" s="70">
        <v>0</v>
      </c>
      <c r="F38" s="98">
        <f>SUM(52*E38/4.33)</f>
        <v>0</v>
      </c>
      <c r="G38" s="69">
        <v>0</v>
      </c>
      <c r="J38" s="201">
        <f>ROUND(G38*E38,0)</f>
        <v>0</v>
      </c>
      <c r="K38" s="202">
        <f>ROUND(J38*'RATES-Fed'!E41,0)</f>
        <v>0</v>
      </c>
      <c r="L38" s="203">
        <f>SUM(J38:K38)</f>
        <v>0</v>
      </c>
      <c r="M38" s="201">
        <f>ROUND((J38*1.02),0)</f>
        <v>0</v>
      </c>
      <c r="N38" s="209">
        <f>ROUND(M38*'RATES-Fed'!G41,0)</f>
        <v>0</v>
      </c>
      <c r="O38" s="203">
        <f>SUM(M38:N38)</f>
        <v>0</v>
      </c>
      <c r="P38" s="201">
        <f>ROUND((M38*1.02),0)</f>
        <v>0</v>
      </c>
      <c r="Q38" s="209">
        <f>ROUND(P38*'RATES-Fed'!I41,0)</f>
        <v>0</v>
      </c>
      <c r="R38" s="203">
        <f>SUM(P38:Q38)</f>
        <v>0</v>
      </c>
      <c r="S38" s="201">
        <f>ROUND((P38*1.02),0)</f>
        <v>0</v>
      </c>
      <c r="T38" s="209">
        <f>ROUND(S38*'RATES-Fed'!K41,0)</f>
        <v>0</v>
      </c>
      <c r="U38" s="203">
        <f>SUM(S38:T38)</f>
        <v>0</v>
      </c>
      <c r="V38" s="201">
        <f>ROUND((S38*1.02),0)</f>
        <v>0</v>
      </c>
      <c r="W38" s="209">
        <f>ROUND(V38*'RATES-Fed'!M41,0)</f>
        <v>0</v>
      </c>
      <c r="X38" s="203">
        <f>SUM(V38:W38)</f>
        <v>0</v>
      </c>
      <c r="Y38" s="42">
        <f>SUM(L38+O38+R38+U38+X38)</f>
        <v>0</v>
      </c>
      <c r="Z38" s="288"/>
    </row>
    <row r="39" spans="1:25" ht="15.75">
      <c r="A39" s="1"/>
      <c r="B39" s="1"/>
      <c r="C39" s="1"/>
      <c r="D39" s="188" t="s">
        <v>213</v>
      </c>
      <c r="E39" s="26"/>
      <c r="F39" s="26"/>
      <c r="G39" s="1"/>
      <c r="H39" s="1"/>
      <c r="I39" s="1"/>
      <c r="J39" s="208">
        <f aca="true" t="shared" si="16" ref="J39:U39">SUM(J19+J25+J32+J34+J35+J36+J37+J38)</f>
        <v>0</v>
      </c>
      <c r="K39" s="274">
        <f t="shared" si="16"/>
        <v>0</v>
      </c>
      <c r="L39" s="50">
        <f t="shared" si="16"/>
        <v>0</v>
      </c>
      <c r="M39" s="208">
        <f t="shared" si="16"/>
        <v>0</v>
      </c>
      <c r="N39" s="274">
        <f t="shared" si="16"/>
        <v>0</v>
      </c>
      <c r="O39" s="50">
        <f t="shared" si="16"/>
        <v>0</v>
      </c>
      <c r="P39" s="208">
        <f t="shared" si="16"/>
        <v>0</v>
      </c>
      <c r="Q39" s="274">
        <f t="shared" si="16"/>
        <v>0</v>
      </c>
      <c r="R39" s="50">
        <f t="shared" si="16"/>
        <v>0</v>
      </c>
      <c r="S39" s="208">
        <f t="shared" si="16"/>
        <v>0</v>
      </c>
      <c r="T39" s="274">
        <f t="shared" si="16"/>
        <v>0</v>
      </c>
      <c r="U39" s="50">
        <f t="shared" si="16"/>
        <v>0</v>
      </c>
      <c r="V39" s="208">
        <f>SUM(V19+V25+V32+V34+V35+V36+V37+V38)</f>
        <v>0</v>
      </c>
      <c r="W39" s="274">
        <f>SUM(W19+W25+W32+W34+W35+W36+W37+W38)</f>
        <v>0</v>
      </c>
      <c r="X39" s="50">
        <f>SUM(X19+X25+X32+X34+X35+X36+X37+X38)</f>
        <v>0</v>
      </c>
      <c r="Y39" s="42">
        <f>SUM(Y34:Y38)</f>
        <v>0</v>
      </c>
    </row>
    <row r="40" spans="1:26" ht="7.5" customHeight="1">
      <c r="A40" s="1"/>
      <c r="B40" s="1"/>
      <c r="C40" s="1"/>
      <c r="D40" s="26"/>
      <c r="E40" s="26"/>
      <c r="F40" s="26"/>
      <c r="G40" s="26"/>
      <c r="H40" s="26"/>
      <c r="I40" s="26"/>
      <c r="J40" s="52"/>
      <c r="K40" s="157"/>
      <c r="L40" s="176"/>
      <c r="M40" s="64"/>
      <c r="P40" s="64"/>
      <c r="Q40" s="157"/>
      <c r="R40" s="46"/>
      <c r="S40" s="64"/>
      <c r="T40" s="157"/>
      <c r="U40" s="46"/>
      <c r="V40" s="46"/>
      <c r="W40" s="46"/>
      <c r="X40" s="46"/>
      <c r="Y40" s="64" t="s">
        <v>1</v>
      </c>
      <c r="Z40" s="6"/>
    </row>
    <row r="41" spans="1:26" s="31" customFormat="1" ht="15.75">
      <c r="A41" s="40" t="s">
        <v>23</v>
      </c>
      <c r="B41" s="21"/>
      <c r="D41" s="28"/>
      <c r="E41" s="28"/>
      <c r="F41" s="28"/>
      <c r="G41" s="28"/>
      <c r="H41" s="28"/>
      <c r="I41" s="28"/>
      <c r="J41" s="47">
        <f>SUM(J39+K39)</f>
        <v>0</v>
      </c>
      <c r="K41" s="159"/>
      <c r="L41" s="178"/>
      <c r="M41" s="47">
        <f>SUM(M39+N39)</f>
        <v>0</v>
      </c>
      <c r="N41" s="159"/>
      <c r="O41" s="144"/>
      <c r="P41" s="47">
        <f>SUM(P39+Q39)</f>
        <v>0</v>
      </c>
      <c r="Q41" s="159"/>
      <c r="R41" s="144"/>
      <c r="S41" s="47">
        <f>SUM(S39+T39)</f>
        <v>0</v>
      </c>
      <c r="T41" s="159"/>
      <c r="U41" s="144"/>
      <c r="V41" s="47">
        <f>SUM(V39+W39)</f>
        <v>0</v>
      </c>
      <c r="W41" s="144"/>
      <c r="X41" s="144"/>
      <c r="Y41" s="47">
        <f>SUM(J41+M41+P41+S41+V41)</f>
        <v>0</v>
      </c>
      <c r="Z41" s="29"/>
    </row>
    <row r="42" spans="1:26" ht="8.25" customHeight="1">
      <c r="A42" s="1"/>
      <c r="B42" s="1"/>
      <c r="C42" s="28"/>
      <c r="D42" s="26"/>
      <c r="E42" s="26"/>
      <c r="F42" s="26"/>
      <c r="G42" s="26"/>
      <c r="H42" s="26"/>
      <c r="I42" s="26"/>
      <c r="J42" s="52"/>
      <c r="K42" s="157"/>
      <c r="L42" s="176"/>
      <c r="M42" s="46"/>
      <c r="N42" s="157"/>
      <c r="O42" s="46"/>
      <c r="P42" s="46"/>
      <c r="Q42" s="157"/>
      <c r="R42" s="46"/>
      <c r="S42" s="46"/>
      <c r="T42" s="157"/>
      <c r="U42" s="46"/>
      <c r="V42" s="46"/>
      <c r="W42" s="46"/>
      <c r="X42" s="46"/>
      <c r="Y42" s="46" t="s">
        <v>1</v>
      </c>
      <c r="Z42" s="6"/>
    </row>
    <row r="43" spans="1:26" ht="15.75">
      <c r="A43" s="22" t="s">
        <v>24</v>
      </c>
      <c r="B43" s="22" t="s">
        <v>25</v>
      </c>
      <c r="C43" s="21"/>
      <c r="D43" s="26"/>
      <c r="E43" s="26"/>
      <c r="F43" s="26"/>
      <c r="G43" s="26"/>
      <c r="H43" s="26"/>
      <c r="I43" s="26"/>
      <c r="J43" s="52"/>
      <c r="K43" s="157"/>
      <c r="L43" s="176"/>
      <c r="M43" s="50"/>
      <c r="N43" s="157"/>
      <c r="O43" s="46"/>
      <c r="P43" s="50"/>
      <c r="Q43" s="157"/>
      <c r="R43" s="46"/>
      <c r="S43" s="50"/>
      <c r="T43" s="157"/>
      <c r="U43" s="46"/>
      <c r="V43" s="46"/>
      <c r="W43" s="46"/>
      <c r="X43" s="46"/>
      <c r="Y43" s="50" t="s">
        <v>1</v>
      </c>
      <c r="Z43" s="6"/>
    </row>
    <row r="44" spans="1:26" ht="15.75">
      <c r="A44" s="21"/>
      <c r="B44" s="21"/>
      <c r="C44" s="10" t="s">
        <v>26</v>
      </c>
      <c r="D44" s="30"/>
      <c r="E44" s="30"/>
      <c r="F44" s="30"/>
      <c r="G44" s="30"/>
      <c r="H44" s="30"/>
      <c r="I44" s="30"/>
      <c r="J44" s="42">
        <v>0</v>
      </c>
      <c r="K44" s="157"/>
      <c r="L44" s="176"/>
      <c r="M44" s="42">
        <v>0</v>
      </c>
      <c r="N44" s="274"/>
      <c r="O44" s="50"/>
      <c r="P44" s="42">
        <v>0</v>
      </c>
      <c r="Q44" s="274"/>
      <c r="R44" s="50"/>
      <c r="S44" s="42">
        <v>0</v>
      </c>
      <c r="T44" s="274"/>
      <c r="U44" s="50"/>
      <c r="V44" s="42">
        <v>0</v>
      </c>
      <c r="W44" s="50"/>
      <c r="X44" s="50"/>
      <c r="Y44" s="42">
        <f>+J44+M44+P44+S44+V44</f>
        <v>0</v>
      </c>
      <c r="Z44" s="6"/>
    </row>
    <row r="45" spans="1:26" ht="15.75">
      <c r="A45" s="21"/>
      <c r="B45" s="21"/>
      <c r="C45" s="10" t="s">
        <v>26</v>
      </c>
      <c r="D45" s="30"/>
      <c r="E45" s="30"/>
      <c r="F45" s="30"/>
      <c r="G45" s="30"/>
      <c r="H45" s="30"/>
      <c r="I45" s="30"/>
      <c r="J45" s="42">
        <v>0</v>
      </c>
      <c r="K45" s="157"/>
      <c r="L45" s="176"/>
      <c r="M45" s="42">
        <v>0</v>
      </c>
      <c r="N45" s="274"/>
      <c r="O45" s="50"/>
      <c r="P45" s="42">
        <v>0</v>
      </c>
      <c r="Q45" s="274"/>
      <c r="R45" s="50"/>
      <c r="S45" s="42">
        <v>0</v>
      </c>
      <c r="T45" s="274"/>
      <c r="U45" s="50"/>
      <c r="V45" s="42">
        <v>0</v>
      </c>
      <c r="W45" s="50"/>
      <c r="X45" s="50"/>
      <c r="Y45" s="42">
        <f>+J45+M45+P45+S45+V45</f>
        <v>0</v>
      </c>
      <c r="Z45" s="6"/>
    </row>
    <row r="46" spans="1:26" ht="15.75">
      <c r="A46" s="21"/>
      <c r="B46" s="21"/>
      <c r="C46" s="27" t="s">
        <v>27</v>
      </c>
      <c r="D46" s="28"/>
      <c r="E46" s="28"/>
      <c r="F46" s="28"/>
      <c r="G46" s="28"/>
      <c r="H46" s="28"/>
      <c r="I46" s="28"/>
      <c r="J46" s="53">
        <f>SUM(J44:J45)</f>
        <v>0</v>
      </c>
      <c r="K46" s="160"/>
      <c r="L46" s="179"/>
      <c r="M46" s="53">
        <f>SUM(M44:M45)</f>
        <v>0</v>
      </c>
      <c r="N46" s="160"/>
      <c r="O46" s="48"/>
      <c r="P46" s="53">
        <f>SUM(P44:P45)</f>
        <v>0</v>
      </c>
      <c r="Q46" s="160"/>
      <c r="R46" s="48"/>
      <c r="S46" s="53">
        <f>SUM(S44:S45)</f>
        <v>0</v>
      </c>
      <c r="T46" s="160"/>
      <c r="U46" s="48"/>
      <c r="V46" s="53">
        <f>SUM(V44:V45)</f>
        <v>0</v>
      </c>
      <c r="W46" s="48"/>
      <c r="X46" s="48"/>
      <c r="Y46" s="53">
        <f>SUM(Y44:Y45)</f>
        <v>0</v>
      </c>
      <c r="Z46" s="29"/>
    </row>
    <row r="47" spans="1:26" ht="9" customHeight="1">
      <c r="A47" s="1"/>
      <c r="B47" s="1"/>
      <c r="C47" s="28"/>
      <c r="D47" s="26"/>
      <c r="E47" s="26"/>
      <c r="F47" s="26"/>
      <c r="G47" s="26"/>
      <c r="H47" s="26"/>
      <c r="I47" s="26"/>
      <c r="J47" s="52"/>
      <c r="K47" s="157"/>
      <c r="L47" s="176"/>
      <c r="M47" s="46"/>
      <c r="N47" s="157"/>
      <c r="O47" s="46"/>
      <c r="P47" s="46"/>
      <c r="Q47" s="157"/>
      <c r="R47" s="46"/>
      <c r="S47" s="46"/>
      <c r="T47" s="157"/>
      <c r="U47" s="46"/>
      <c r="V47" s="46"/>
      <c r="W47" s="46"/>
      <c r="X47" s="46"/>
      <c r="Y47" s="46"/>
      <c r="Z47" s="6"/>
    </row>
    <row r="48" spans="1:26" ht="15.75">
      <c r="A48" s="22" t="s">
        <v>28</v>
      </c>
      <c r="B48" s="22" t="s">
        <v>29</v>
      </c>
      <c r="C48" s="1"/>
      <c r="D48" s="21"/>
      <c r="E48" s="21"/>
      <c r="F48" s="21"/>
      <c r="G48" s="1"/>
      <c r="H48" s="1"/>
      <c r="I48" s="1"/>
      <c r="J48" s="54" t="s">
        <v>1</v>
      </c>
      <c r="K48" s="274"/>
      <c r="L48" s="177"/>
      <c r="M48" s="45" t="s">
        <v>1</v>
      </c>
      <c r="N48" s="274"/>
      <c r="O48" s="50"/>
      <c r="P48" s="45" t="s">
        <v>1</v>
      </c>
      <c r="Q48" s="274"/>
      <c r="R48" s="50"/>
      <c r="S48" s="45" t="s">
        <v>1</v>
      </c>
      <c r="T48" s="274"/>
      <c r="U48" s="50"/>
      <c r="V48" s="50"/>
      <c r="W48" s="50"/>
      <c r="X48" s="50"/>
      <c r="Y48" s="45"/>
      <c r="Z48" s="5"/>
    </row>
    <row r="49" spans="1:26" ht="15.75">
      <c r="A49" s="21"/>
      <c r="B49" s="21"/>
      <c r="C49" s="13" t="s">
        <v>30</v>
      </c>
      <c r="D49" s="10" t="s">
        <v>26</v>
      </c>
      <c r="E49" s="31"/>
      <c r="F49" s="31"/>
      <c r="J49" s="42">
        <v>0</v>
      </c>
      <c r="K49" s="274"/>
      <c r="L49" s="177"/>
      <c r="M49" s="42">
        <f>ROUND((J49*1.02),0)</f>
        <v>0</v>
      </c>
      <c r="N49" s="275"/>
      <c r="O49" s="148"/>
      <c r="P49" s="42">
        <f>ROUND((M49*1.02),0)</f>
        <v>0</v>
      </c>
      <c r="Q49" s="275"/>
      <c r="R49" s="148"/>
      <c r="S49" s="42">
        <f>ROUND((P49*1.02),0)</f>
        <v>0</v>
      </c>
      <c r="T49" s="275"/>
      <c r="U49" s="148"/>
      <c r="V49" s="42">
        <f>ROUND((S49*1.02),0)</f>
        <v>0</v>
      </c>
      <c r="W49" s="148"/>
      <c r="X49" s="148"/>
      <c r="Y49" s="42">
        <f>+J49+M49+P49+S49+V49</f>
        <v>0</v>
      </c>
      <c r="Z49" s="5"/>
    </row>
    <row r="50" spans="1:26" ht="15.75">
      <c r="A50" s="21"/>
      <c r="B50" s="21"/>
      <c r="C50" s="13" t="s">
        <v>31</v>
      </c>
      <c r="D50" s="10" t="s">
        <v>26</v>
      </c>
      <c r="E50" s="31"/>
      <c r="F50" s="31"/>
      <c r="J50" s="42">
        <v>0</v>
      </c>
      <c r="K50" s="274"/>
      <c r="L50" s="177"/>
      <c r="M50" s="42">
        <f>ROUND((J50*1.02),0)</f>
        <v>0</v>
      </c>
      <c r="N50" s="275"/>
      <c r="O50" s="148"/>
      <c r="P50" s="42">
        <f>ROUND((M50*1.02),0)</f>
        <v>0</v>
      </c>
      <c r="Q50" s="275"/>
      <c r="R50" s="148"/>
      <c r="S50" s="42">
        <f>ROUND((P50*1.02),0)</f>
        <v>0</v>
      </c>
      <c r="T50" s="275"/>
      <c r="U50" s="148"/>
      <c r="V50" s="42">
        <f>ROUND((S50*1.02),0)</f>
        <v>0</v>
      </c>
      <c r="W50" s="148"/>
      <c r="X50" s="148"/>
      <c r="Y50" s="42">
        <f>+J50+M50+P50+S50+V50</f>
        <v>0</v>
      </c>
      <c r="Z50" s="5"/>
    </row>
    <row r="51" spans="1:26" s="31" customFormat="1" ht="15.75">
      <c r="A51" s="21"/>
      <c r="B51" s="21"/>
      <c r="C51" s="27" t="s">
        <v>32</v>
      </c>
      <c r="D51" s="28"/>
      <c r="E51" s="28"/>
      <c r="F51" s="28"/>
      <c r="G51" s="28"/>
      <c r="H51" s="28"/>
      <c r="I51" s="28"/>
      <c r="J51" s="53">
        <f>SUM(J49:J50)</f>
        <v>0</v>
      </c>
      <c r="K51" s="160"/>
      <c r="L51" s="179"/>
      <c r="M51" s="55">
        <f>SUM(M49:M50)</f>
        <v>0</v>
      </c>
      <c r="N51" s="160"/>
      <c r="O51" s="48"/>
      <c r="P51" s="55">
        <f>SUM(P49:P50)</f>
        <v>0</v>
      </c>
      <c r="Q51" s="160"/>
      <c r="R51" s="48"/>
      <c r="S51" s="55">
        <f>SUM(S49:S50)</f>
        <v>0</v>
      </c>
      <c r="T51" s="160"/>
      <c r="U51" s="48"/>
      <c r="V51" s="55">
        <f>SUM(V49:V50)</f>
        <v>0</v>
      </c>
      <c r="W51" s="48"/>
      <c r="X51" s="48"/>
      <c r="Y51" s="55">
        <f>SUM(Y49:Y50)</f>
        <v>0</v>
      </c>
      <c r="Z51" s="29"/>
    </row>
    <row r="52" spans="1:26" ht="10.5" customHeight="1">
      <c r="A52" s="1"/>
      <c r="B52" s="1"/>
      <c r="C52" s="28"/>
      <c r="D52" s="26"/>
      <c r="E52" s="26"/>
      <c r="F52" s="26"/>
      <c r="G52" s="26"/>
      <c r="H52" s="26"/>
      <c r="I52" s="26"/>
      <c r="J52" s="52"/>
      <c r="K52" s="157"/>
      <c r="L52" s="176"/>
      <c r="M52" s="42"/>
      <c r="N52" s="157"/>
      <c r="O52" s="46"/>
      <c r="P52" s="42"/>
      <c r="Q52" s="157"/>
      <c r="R52" s="46"/>
      <c r="S52" s="42"/>
      <c r="T52" s="157"/>
      <c r="U52" s="46"/>
      <c r="V52" s="46"/>
      <c r="W52" s="46"/>
      <c r="X52" s="46"/>
      <c r="Y52" s="42"/>
      <c r="Z52" s="6"/>
    </row>
    <row r="53" spans="1:26" ht="15.75">
      <c r="A53" s="22" t="s">
        <v>33</v>
      </c>
      <c r="B53" s="22" t="s">
        <v>34</v>
      </c>
      <c r="C53" s="21"/>
      <c r="D53" s="21"/>
      <c r="E53" s="21"/>
      <c r="F53" s="21"/>
      <c r="G53" s="1"/>
      <c r="H53" s="1"/>
      <c r="I53" s="1"/>
      <c r="J53" s="54" t="s">
        <v>1</v>
      </c>
      <c r="K53" s="274"/>
      <c r="L53" s="177"/>
      <c r="M53" s="42" t="s">
        <v>1</v>
      </c>
      <c r="N53" s="274"/>
      <c r="O53" s="50"/>
      <c r="P53" s="42" t="s">
        <v>1</v>
      </c>
      <c r="Q53" s="274"/>
      <c r="R53" s="50"/>
      <c r="S53" s="42" t="s">
        <v>1</v>
      </c>
      <c r="T53" s="274"/>
      <c r="U53" s="50"/>
      <c r="V53" s="50"/>
      <c r="W53" s="50"/>
      <c r="X53" s="50"/>
      <c r="Y53" s="42"/>
      <c r="Z53" s="5"/>
    </row>
    <row r="54" spans="1:26" ht="15.75">
      <c r="A54" s="21"/>
      <c r="B54" s="21"/>
      <c r="C54" s="13" t="s">
        <v>35</v>
      </c>
      <c r="D54" s="3"/>
      <c r="E54" s="31"/>
      <c r="F54" s="31"/>
      <c r="J54" s="42">
        <v>0</v>
      </c>
      <c r="K54" s="274"/>
      <c r="L54" s="177"/>
      <c r="M54" s="42">
        <f>ROUND((J54*1.02),0)</f>
        <v>0</v>
      </c>
      <c r="N54" s="275"/>
      <c r="O54" s="148"/>
      <c r="P54" s="42">
        <f>ROUND((M54*1.02),0)</f>
        <v>0</v>
      </c>
      <c r="Q54" s="275"/>
      <c r="R54" s="148"/>
      <c r="S54" s="42">
        <f>ROUND((P54*1.02),0)</f>
        <v>0</v>
      </c>
      <c r="T54" s="275"/>
      <c r="U54" s="148"/>
      <c r="V54" s="42">
        <f>ROUND((S54*1.02),0)</f>
        <v>0</v>
      </c>
      <c r="W54" s="148"/>
      <c r="X54" s="148"/>
      <c r="Y54" s="42">
        <f aca="true" t="shared" si="17" ref="Y54:Y64">+J54+M54+P54+S54+V54</f>
        <v>0</v>
      </c>
      <c r="Z54" s="5"/>
    </row>
    <row r="55" spans="1:26" ht="15.75">
      <c r="A55" s="21"/>
      <c r="B55" s="21"/>
      <c r="C55" s="13" t="s">
        <v>36</v>
      </c>
      <c r="D55" s="3"/>
      <c r="E55" s="31"/>
      <c r="F55" s="31"/>
      <c r="J55" s="42">
        <v>0</v>
      </c>
      <c r="K55" s="274"/>
      <c r="L55" s="177"/>
      <c r="M55" s="42">
        <f aca="true" t="shared" si="18" ref="M55:M60">ROUND((J55*1.02),0)</f>
        <v>0</v>
      </c>
      <c r="N55" s="275"/>
      <c r="O55" s="148"/>
      <c r="P55" s="42">
        <f aca="true" t="shared" si="19" ref="P55:P60">ROUND((M55*1.02),0)</f>
        <v>0</v>
      </c>
      <c r="Q55" s="275"/>
      <c r="R55" s="148"/>
      <c r="S55" s="42">
        <f aca="true" t="shared" si="20" ref="S55:S60">ROUND((P55*1.02),0)</f>
        <v>0</v>
      </c>
      <c r="T55" s="275"/>
      <c r="U55" s="148"/>
      <c r="V55" s="42">
        <f aca="true" t="shared" si="21" ref="V55:V64">ROUND((S55*1.02),0)</f>
        <v>0</v>
      </c>
      <c r="W55" s="148"/>
      <c r="X55" s="148"/>
      <c r="Y55" s="42">
        <f t="shared" si="17"/>
        <v>0</v>
      </c>
      <c r="Z55" s="5"/>
    </row>
    <row r="56" spans="1:26" ht="15.75">
      <c r="A56" s="21"/>
      <c r="B56" s="21"/>
      <c r="C56" s="13" t="s">
        <v>37</v>
      </c>
      <c r="D56" s="3"/>
      <c r="E56" s="31"/>
      <c r="F56" s="31"/>
      <c r="J56" s="42">
        <v>0</v>
      </c>
      <c r="K56" s="274"/>
      <c r="L56" s="177"/>
      <c r="M56" s="42">
        <f t="shared" si="18"/>
        <v>0</v>
      </c>
      <c r="N56" s="275"/>
      <c r="O56" s="148"/>
      <c r="P56" s="42">
        <f t="shared" si="19"/>
        <v>0</v>
      </c>
      <c r="Q56" s="169"/>
      <c r="R56" s="42"/>
      <c r="S56" s="42">
        <f t="shared" si="20"/>
        <v>0</v>
      </c>
      <c r="T56" s="169"/>
      <c r="U56" s="42"/>
      <c r="V56" s="42">
        <f t="shared" si="21"/>
        <v>0</v>
      </c>
      <c r="W56" s="42"/>
      <c r="X56" s="42"/>
      <c r="Y56" s="42">
        <f t="shared" si="17"/>
        <v>0</v>
      </c>
      <c r="Z56" s="5"/>
    </row>
    <row r="57" spans="1:26" ht="15.75">
      <c r="A57" s="21"/>
      <c r="B57" s="21"/>
      <c r="C57" s="13" t="s">
        <v>38</v>
      </c>
      <c r="D57" s="3"/>
      <c r="E57" s="31"/>
      <c r="F57" s="31"/>
      <c r="J57" s="42">
        <v>0</v>
      </c>
      <c r="K57" s="274"/>
      <c r="L57" s="177"/>
      <c r="M57" s="42">
        <f t="shared" si="18"/>
        <v>0</v>
      </c>
      <c r="N57" s="275"/>
      <c r="O57" s="148"/>
      <c r="P57" s="42">
        <f t="shared" si="19"/>
        <v>0</v>
      </c>
      <c r="Q57" s="275"/>
      <c r="R57" s="148"/>
      <c r="S57" s="42">
        <f t="shared" si="20"/>
        <v>0</v>
      </c>
      <c r="T57" s="275"/>
      <c r="U57" s="148"/>
      <c r="V57" s="42">
        <f t="shared" si="21"/>
        <v>0</v>
      </c>
      <c r="W57" s="148"/>
      <c r="X57" s="148"/>
      <c r="Y57" s="42">
        <f t="shared" si="17"/>
        <v>0</v>
      </c>
      <c r="Z57" s="5"/>
    </row>
    <row r="58" spans="1:26" ht="15.75">
      <c r="A58" s="21"/>
      <c r="B58" s="21"/>
      <c r="C58" s="235" t="s">
        <v>104</v>
      </c>
      <c r="D58" s="3"/>
      <c r="E58" s="31"/>
      <c r="F58" s="31"/>
      <c r="J58" s="42">
        <v>0</v>
      </c>
      <c r="K58" s="274"/>
      <c r="L58" s="177"/>
      <c r="M58" s="42">
        <f t="shared" si="18"/>
        <v>0</v>
      </c>
      <c r="N58" s="275"/>
      <c r="O58" s="148"/>
      <c r="P58" s="42">
        <f t="shared" si="19"/>
        <v>0</v>
      </c>
      <c r="Q58" s="275"/>
      <c r="R58" s="148"/>
      <c r="S58" s="42">
        <f t="shared" si="20"/>
        <v>0</v>
      </c>
      <c r="T58" s="275"/>
      <c r="U58" s="148"/>
      <c r="V58" s="42">
        <f t="shared" si="21"/>
        <v>0</v>
      </c>
      <c r="W58" s="148"/>
      <c r="X58" s="148"/>
      <c r="Y58" s="42">
        <f t="shared" si="17"/>
        <v>0</v>
      </c>
      <c r="Z58" s="5"/>
    </row>
    <row r="59" spans="1:26" ht="15.75">
      <c r="A59" s="21"/>
      <c r="B59" s="21"/>
      <c r="C59" s="13" t="s">
        <v>92</v>
      </c>
      <c r="D59" s="3"/>
      <c r="E59" s="31"/>
      <c r="F59" s="31"/>
      <c r="J59" s="42">
        <v>0</v>
      </c>
      <c r="K59" s="274"/>
      <c r="L59" s="177"/>
      <c r="M59" s="42">
        <f t="shared" si="18"/>
        <v>0</v>
      </c>
      <c r="N59" s="169"/>
      <c r="O59" s="42"/>
      <c r="P59" s="42">
        <f t="shared" si="19"/>
        <v>0</v>
      </c>
      <c r="Q59" s="169"/>
      <c r="R59" s="42"/>
      <c r="S59" s="42">
        <f t="shared" si="20"/>
        <v>0</v>
      </c>
      <c r="T59" s="169"/>
      <c r="U59" s="42"/>
      <c r="V59" s="42">
        <f t="shared" si="21"/>
        <v>0</v>
      </c>
      <c r="W59" s="42"/>
      <c r="X59" s="42"/>
      <c r="Y59" s="42">
        <f t="shared" si="17"/>
        <v>0</v>
      </c>
      <c r="Z59" s="5"/>
    </row>
    <row r="60" spans="1:26" ht="15.75">
      <c r="A60" s="21"/>
      <c r="B60" s="21"/>
      <c r="C60" s="13" t="s">
        <v>39</v>
      </c>
      <c r="D60" s="21"/>
      <c r="E60" s="21"/>
      <c r="F60" s="21"/>
      <c r="G60" s="1"/>
      <c r="H60" s="1"/>
      <c r="I60" s="1"/>
      <c r="J60" s="42">
        <v>0</v>
      </c>
      <c r="K60" s="274"/>
      <c r="L60" s="177"/>
      <c r="M60" s="42">
        <f t="shared" si="18"/>
        <v>0</v>
      </c>
      <c r="N60" s="169"/>
      <c r="O60" s="42"/>
      <c r="P60" s="42">
        <f t="shared" si="19"/>
        <v>0</v>
      </c>
      <c r="Q60" s="169"/>
      <c r="R60" s="42"/>
      <c r="S60" s="42">
        <f t="shared" si="20"/>
        <v>0</v>
      </c>
      <c r="T60" s="169"/>
      <c r="U60" s="42"/>
      <c r="V60" s="42">
        <f t="shared" si="21"/>
        <v>0</v>
      </c>
      <c r="W60" s="42"/>
      <c r="X60" s="42"/>
      <c r="Y60" s="42">
        <f t="shared" si="17"/>
        <v>0</v>
      </c>
      <c r="Z60" s="5"/>
    </row>
    <row r="61" spans="1:27" ht="15.75">
      <c r="A61" s="21"/>
      <c r="B61" s="21"/>
      <c r="C61" s="22" t="s">
        <v>40</v>
      </c>
      <c r="D61" s="10"/>
      <c r="E61" s="31"/>
      <c r="F61" s="31"/>
      <c r="J61" s="42">
        <v>0</v>
      </c>
      <c r="K61" s="274"/>
      <c r="L61" s="177"/>
      <c r="M61" s="42">
        <v>0</v>
      </c>
      <c r="N61" s="275"/>
      <c r="O61" s="148"/>
      <c r="P61" s="42">
        <v>0</v>
      </c>
      <c r="Q61" s="275"/>
      <c r="R61" s="148"/>
      <c r="S61" s="42">
        <v>0</v>
      </c>
      <c r="T61" s="275"/>
      <c r="U61" s="148"/>
      <c r="V61" s="42">
        <f t="shared" si="21"/>
        <v>0</v>
      </c>
      <c r="W61" s="148"/>
      <c r="X61" s="148"/>
      <c r="Y61" s="42">
        <f t="shared" si="17"/>
        <v>0</v>
      </c>
      <c r="Z61" s="5"/>
      <c r="AA61" s="76"/>
    </row>
    <row r="62" spans="1:27" ht="15.75">
      <c r="A62" s="21"/>
      <c r="B62" s="21"/>
      <c r="C62" s="63" t="s">
        <v>41</v>
      </c>
      <c r="D62" s="10"/>
      <c r="E62" s="31"/>
      <c r="F62" s="31"/>
      <c r="J62" s="42">
        <v>0</v>
      </c>
      <c r="K62" s="274"/>
      <c r="L62" s="177"/>
      <c r="M62" s="42">
        <v>0</v>
      </c>
      <c r="N62" s="275"/>
      <c r="O62" s="148"/>
      <c r="P62" s="42">
        <v>0</v>
      </c>
      <c r="Q62" s="275"/>
      <c r="R62" s="148"/>
      <c r="S62" s="42">
        <v>0</v>
      </c>
      <c r="T62" s="275"/>
      <c r="U62" s="148"/>
      <c r="V62" s="42">
        <f t="shared" si="21"/>
        <v>0</v>
      </c>
      <c r="W62" s="148"/>
      <c r="X62" s="148"/>
      <c r="Y62" s="42">
        <f t="shared" si="17"/>
        <v>0</v>
      </c>
      <c r="Z62" s="5"/>
      <c r="AA62" s="76"/>
    </row>
    <row r="63" spans="1:27" ht="15.75">
      <c r="A63" s="21"/>
      <c r="B63" s="21"/>
      <c r="C63" s="63" t="s">
        <v>96</v>
      </c>
      <c r="D63" s="10"/>
      <c r="E63" s="31"/>
      <c r="F63" s="31"/>
      <c r="J63" s="42">
        <v>0</v>
      </c>
      <c r="K63" s="274"/>
      <c r="L63" s="177"/>
      <c r="M63" s="42">
        <v>0</v>
      </c>
      <c r="N63" s="275"/>
      <c r="O63" s="148"/>
      <c r="P63" s="42">
        <v>0</v>
      </c>
      <c r="Q63" s="275"/>
      <c r="R63" s="148"/>
      <c r="S63" s="42">
        <v>0</v>
      </c>
      <c r="T63" s="275"/>
      <c r="U63" s="148"/>
      <c r="V63" s="42">
        <f t="shared" si="21"/>
        <v>0</v>
      </c>
      <c r="W63" s="148"/>
      <c r="X63" s="148"/>
      <c r="Y63" s="42">
        <f t="shared" si="17"/>
        <v>0</v>
      </c>
      <c r="Z63" s="5"/>
      <c r="AA63" s="76"/>
    </row>
    <row r="64" spans="1:27" ht="15.75">
      <c r="A64" s="21"/>
      <c r="B64" s="21"/>
      <c r="C64" s="63" t="s">
        <v>97</v>
      </c>
      <c r="D64" s="10"/>
      <c r="E64" s="31"/>
      <c r="F64" s="31"/>
      <c r="J64" s="42">
        <v>0</v>
      </c>
      <c r="K64" s="274"/>
      <c r="L64" s="177"/>
      <c r="M64" s="42">
        <v>0</v>
      </c>
      <c r="N64" s="275"/>
      <c r="O64" s="148"/>
      <c r="P64" s="42">
        <v>0</v>
      </c>
      <c r="Q64" s="275"/>
      <c r="R64" s="148"/>
      <c r="S64" s="42">
        <v>0</v>
      </c>
      <c r="T64" s="275"/>
      <c r="U64" s="148"/>
      <c r="V64" s="204">
        <f t="shared" si="21"/>
        <v>0</v>
      </c>
      <c r="W64" s="148"/>
      <c r="X64" s="148"/>
      <c r="Y64" s="42">
        <f t="shared" si="17"/>
        <v>0</v>
      </c>
      <c r="Z64" s="5"/>
      <c r="AA64" s="76"/>
    </row>
    <row r="65" spans="1:27" ht="15.75">
      <c r="A65" s="40" t="s">
        <v>42</v>
      </c>
      <c r="D65" s="28"/>
      <c r="E65" s="28"/>
      <c r="F65" s="28"/>
      <c r="G65" s="28"/>
      <c r="H65" s="28"/>
      <c r="I65" s="28"/>
      <c r="J65" s="51">
        <f>SUM(J54:J64)</f>
        <v>0</v>
      </c>
      <c r="K65" s="161"/>
      <c r="L65" s="180"/>
      <c r="M65" s="43">
        <f>SUM(M54:M64)</f>
        <v>0</v>
      </c>
      <c r="N65" s="161"/>
      <c r="O65" s="44"/>
      <c r="P65" s="43">
        <f>SUM(P54:P64)</f>
        <v>0</v>
      </c>
      <c r="Q65" s="161"/>
      <c r="R65" s="44"/>
      <c r="S65" s="43">
        <f>SUM(S54:S64)</f>
        <v>0</v>
      </c>
      <c r="T65" s="161"/>
      <c r="U65" s="44"/>
      <c r="V65" s="43">
        <f>SUM(V54:V64)</f>
        <v>0</v>
      </c>
      <c r="W65" s="44"/>
      <c r="X65" s="44"/>
      <c r="Y65" s="43">
        <f>SUM(Y54:Y64)</f>
        <v>0</v>
      </c>
      <c r="Z65" s="34"/>
      <c r="AA65" s="76"/>
    </row>
    <row r="66" spans="1:26" ht="7.5" customHeight="1">
      <c r="A66" s="21"/>
      <c r="B66" s="21"/>
      <c r="C66" s="26"/>
      <c r="D66" s="28"/>
      <c r="E66" s="28"/>
      <c r="F66" s="28"/>
      <c r="G66" s="26"/>
      <c r="H66" s="26"/>
      <c r="I66" s="26"/>
      <c r="J66" s="52"/>
      <c r="K66" s="157"/>
      <c r="L66" s="176"/>
      <c r="M66" s="46"/>
      <c r="N66" s="157"/>
      <c r="O66" s="46"/>
      <c r="P66" s="46"/>
      <c r="Q66" s="157"/>
      <c r="R66" s="46"/>
      <c r="S66" s="46"/>
      <c r="T66" s="157"/>
      <c r="U66" s="46"/>
      <c r="V66" s="46"/>
      <c r="W66" s="46"/>
      <c r="X66" s="46"/>
      <c r="Y66" s="46" t="s">
        <v>1</v>
      </c>
      <c r="Z66" s="6"/>
    </row>
    <row r="67" spans="1:26" ht="16.5">
      <c r="A67" s="28"/>
      <c r="B67" s="28"/>
      <c r="C67" s="28"/>
      <c r="D67" s="21"/>
      <c r="E67" s="32" t="s">
        <v>43</v>
      </c>
      <c r="F67" s="32"/>
      <c r="G67" s="39"/>
      <c r="H67" s="39"/>
      <c r="I67" s="39"/>
      <c r="J67" s="65">
        <f>ROUND(+J65+J51+J46+J41,0)</f>
        <v>0</v>
      </c>
      <c r="K67" s="162"/>
      <c r="L67" s="181"/>
      <c r="M67" s="65">
        <f>ROUND(+M65+M51+M46+M41,0)</f>
        <v>0</v>
      </c>
      <c r="N67" s="162"/>
      <c r="O67" s="65"/>
      <c r="P67" s="65">
        <f>ROUND(+P65+P51+P46+P41,0)</f>
        <v>0</v>
      </c>
      <c r="Q67" s="162"/>
      <c r="R67" s="65"/>
      <c r="S67" s="65">
        <f>ROUND(+S65+S51+S46+S41,0)</f>
        <v>0</v>
      </c>
      <c r="T67" s="162"/>
      <c r="U67" s="65"/>
      <c r="V67" s="65">
        <f>ROUND(+V65+V51+V46+V41,0)</f>
        <v>0</v>
      </c>
      <c r="W67" s="65"/>
      <c r="X67" s="65"/>
      <c r="Y67" s="42">
        <f>+J67+M67+P67+S67+V67</f>
        <v>0</v>
      </c>
      <c r="Z67" s="34"/>
    </row>
    <row r="68" spans="1:25" ht="7.5" customHeight="1">
      <c r="A68" s="28"/>
      <c r="B68" s="28"/>
      <c r="C68" s="28"/>
      <c r="D68" s="21"/>
      <c r="E68" s="32"/>
      <c r="F68" s="32"/>
      <c r="G68" s="39"/>
      <c r="H68" s="39"/>
      <c r="I68" s="39"/>
      <c r="J68" s="66"/>
      <c r="K68" s="162"/>
      <c r="L68" s="181"/>
      <c r="M68" s="65"/>
      <c r="N68" s="170"/>
      <c r="O68" s="196"/>
      <c r="P68" s="65"/>
      <c r="Q68" s="170"/>
      <c r="R68" s="196"/>
      <c r="S68" s="65"/>
      <c r="T68" s="170"/>
      <c r="U68" s="196"/>
      <c r="V68" s="196"/>
      <c r="W68" s="196"/>
      <c r="X68" s="196"/>
      <c r="Y68" s="65"/>
    </row>
    <row r="69" spans="1:27" ht="15.75">
      <c r="A69" s="28"/>
      <c r="B69" s="28"/>
      <c r="C69" s="28"/>
      <c r="D69" s="21"/>
      <c r="G69" s="39"/>
      <c r="H69" s="96" t="s">
        <v>123</v>
      </c>
      <c r="I69" s="39"/>
      <c r="J69" s="74">
        <f>(IF((J61)&gt;25000,(25000),J61)+((IF((J62)&gt;25000,(25000),J62))+((IF((J63)&gt;25000,(25000),J63))+((IF((J64)&gt;25000,(25000),J64))+SUM(J67-J46-J58-J61-J62-J63-J64-J59)))))</f>
        <v>0</v>
      </c>
      <c r="K69" s="163"/>
      <c r="L69" s="182"/>
      <c r="M69" s="74">
        <f>IF(J61&gt;=(25000),0,((IF((J61+M61)&lt;=(25000),M61,(25000-J61)))))+IF(J62&gt;=(25000),0,((IF((J62+M62)&lt;=(25000),M62,(25000-J62)))))+IF(J63&gt;=(25000),0,((IF((J63+M63)&lt;=(25000),M63,(25000-J63)))))+IF(J64&gt;=(25000),0,((IF((J64+M64)&lt;=(25000),M64,(25000-J64)))))+SUM(M67-M46-M58-M61-M62-M63-M64-M59)</f>
        <v>0</v>
      </c>
      <c r="N69" s="163"/>
      <c r="O69" s="197"/>
      <c r="P69" s="74">
        <f>IF(J61&gt;=(25000),0,(((IF((J61+M61)&gt;=(25000),0,((IF((J61+M61+P61)&lt;=(25000),P61,(25000-SUM(J61+M61))))))))))+IF(J62&gt;=(25000),0,(((IF((J62+M62)&gt;=(25000),0,((IF((J62+M62+P62)&lt;(25000),P62,(25000-SUM(J62+M62))))))))))+IF(J63&gt;=(25000),0,(((IF((J63+M63)&gt;=(25000),0,((IF((J63+M63+P63)&lt;(25000),P63,(25000-SUM(J63+M63))))))))))+IF(J64&gt;=(25000),0,(((IF((J64+M64)&gt;=(25000),0,((IF((J64+M64+P64)&lt;(25000),P64,(25000-SUM(J64+M64))))))))))+SUM(P67-P46-P58-P61-P62-P63-P64-P59)</f>
        <v>0</v>
      </c>
      <c r="Q69" s="163"/>
      <c r="R69" s="197"/>
      <c r="S69" s="74">
        <f>IF(J61&gt;=(25000),0,(((IF((J61+M61)&gt;=(25000),0,((IF((J61+M61+P61)&gt;=(25000),0,(IF((J61+M61+P61+S61)&lt;=(25000),S61,(25000-SUM(J61+M61+P61))))))))))))+IF(J62&gt;=(25000),0,(((IF((J62+M62)&gt;=(25000),0,((IF((J62+M62+P62)&gt;=(25000),0,(IF((J62+M62+P62+S62)&lt;=(25000),S62,(25000-SUM(J62+M62+P62))))))))))))+IF(J63&gt;=(25000),0,(((IF((J63+M63)&gt;=(25000),0,((IF((J63+M63+P63)&gt;=(25000),0,(IF((J63+M63+P63+S63)&lt;=(25000),S63,(25000-SUM(J63+M63+P63))))))))))))+IF(J64&gt;=(25000),0,(((IF((J64+M64)&gt;=(25000),0,((IF((J64+M64+P64)&gt;=(25000),0,(IF((J64+M64+P64+S64)&lt;=(25000),S64,(25000-SUM(J64+M64+P64))))))))))))+SUM(S67-S46-S58-S61-S62-S63-S64-S59)</f>
        <v>0</v>
      </c>
      <c r="T69" s="163"/>
      <c r="U69" s="197"/>
      <c r="V69" s="74">
        <f>IF(M61&gt;=(25000),0,(((IF((M61+P61)&gt;=(25000),0,((IF((M61+P61+S61)&gt;=(25000),0,(IF((M61+P61+S61+V61)&lt;=(25000),V61,(25000-SUM(M61+P61+S61))))))))))))+IF(M62&gt;=(25000),0,(((IF((M62+P62)&gt;=(25000),0,((IF((M62+P62+S62)&gt;=(25000),0,(IF((M62+P62+S62+V62)&lt;=(25000),V62,(25000-SUM(M62+P62+S62))))))))))))+IF(M63&gt;=(25000),0,(((IF((M63+P63)&gt;=(25000),0,((IF((M63+P63+S63)&gt;=(25000),0,(IF((M63+P63+S63+V63)&lt;=(25000),V63,(25000-SUM(M63+P63+S63))))))))))))+IF(M64&gt;=(25000),0,(((IF((M64+P64)&gt;=(25000),0,((IF((M64+P64+S64)&gt;=(25000),0,(IF((M64+P64+S64+V64)&lt;=(25000),V64,(25000-SUM(M64+P64+S64))))))))))))+SUM(V67-V46-V58-V61-V62-V63-V64-V59)</f>
        <v>0</v>
      </c>
      <c r="W69" s="197"/>
      <c r="X69" s="197"/>
      <c r="Y69" s="42">
        <f>+J69+M69+P69+S69+V69</f>
        <v>0</v>
      </c>
      <c r="AA69" s="76"/>
    </row>
    <row r="70" spans="1:28" ht="15.75">
      <c r="A70" s="33" t="s">
        <v>122</v>
      </c>
      <c r="B70" s="1"/>
      <c r="C70" s="1"/>
      <c r="J70" s="42"/>
      <c r="K70" s="164"/>
      <c r="L70" s="183"/>
      <c r="M70" s="50"/>
      <c r="N70" s="164"/>
      <c r="O70" s="56"/>
      <c r="P70" s="50"/>
      <c r="Q70" s="164"/>
      <c r="R70" s="56"/>
      <c r="S70" s="50"/>
      <c r="T70" s="164"/>
      <c r="U70" s="56"/>
      <c r="V70" s="56"/>
      <c r="W70" s="56"/>
      <c r="X70" s="56"/>
      <c r="Y70" s="50"/>
      <c r="Z70" s="5"/>
      <c r="AB70" s="75"/>
    </row>
    <row r="71" spans="1:26" ht="15.75">
      <c r="A71" s="13" t="s">
        <v>125</v>
      </c>
      <c r="B71" s="1"/>
      <c r="D71" s="7">
        <f>IF(AND(($E$82)="R",($E$84)="C"),('RATES-Fed'!E46),IF(AND(($E$82)="R",($E$84)="O"),('RATES-Fed'!E51),IF(AND(($E$82)="I",($E$84)="C"),('RATES-Fed'!E47),IF(AND(($E$82)="I",($E$84)="O"),('RATES-Fed'!E52),IF(AND(($E$82)="P",($E$84)="C"),('RATES-Fed'!E48),IF(AND(($E$82)="P",($E$84)="O"),('RATES-Fed'!E53),($E$83)))))))</f>
        <v>0.605</v>
      </c>
      <c r="E71" s="7">
        <f>IF(AND(($E$82)="R",($E$84)="C"),('RATES-Fed'!G46),IF(AND(($E$82)="R",($E$84)="O"),('RATES-Fed'!G51),IF(AND(($E$82)="I",($E$84)="C"),('RATES-Fed'!G47),IF(AND(($E$82)="I",($E$84)="O"),('RATES-Fed'!G52),IF(AND(($E$82)="P",($E$84)="C"),('RATES-Fed'!G48),IF(AND(($E$82)="P",($E$84)="O"),('RATES-Fed'!G53),($E$83)))))))</f>
        <v>0.605</v>
      </c>
      <c r="F71" s="7">
        <f>IF(AND(($E$82)="R",($E$84)="C"),('RATES-Fed'!I46),IF(AND(($E$82)="R",($E$84)="O"),('RATES-Fed'!I51),IF(AND(($E$82)="I",($E$84)="C"),('RATES-Fed'!I47),IF(AND(($E$82)="I",($E$84)="O"),('RATES-Fed'!I52),IF(AND(($E$82)="P",($E$84)="C"),('RATES-Fed'!I48),IF(AND(($E$82)="P",($E$84)="O"),('RATES-Fed'!I53),($E$83)))))))</f>
        <v>0.605</v>
      </c>
      <c r="G71" s="7">
        <f>IF(AND(($E$82)="R",($E$84)="C"),('RATES-Fed'!K46),IF(AND(($E$82)="R",($E$84)="O"),('RATES-Fed'!K51),IF(AND(($E$82)="I",($E$84)="C"),('RATES-Fed'!K47),IF(AND(($E$82)="I",($E$84)="O"),('RATES-Fed'!K52),IF(AND(($E$82)="P",($E$84)="C"),('RATES-Fed'!K48),IF(AND(($E$82)="P",($E$84)="O"),('RATES-Fed'!K53),($E$83)))))))</f>
        <v>0.605</v>
      </c>
      <c r="H71" s="7">
        <f>IF(AND(($E$82)="R",($E$84)="C"),('RATES-Fed'!I46),IF(AND(($E$82)="R",($E$84)="O"),('RATES-Fed'!I51),IF(AND(($E$82)="I",($E$84)="C"),('RATES-Fed'!I47),IF(AND(($E$82)="I",($E$84)="O"),('RATES-Fed'!I52),IF(AND(($E$82)="P",($E$84)="C"),('RATES-Fed'!I48),IF(AND(($E$82)="P",($E$84)="O"),('RATES-Fed'!I53),($E$83)))))))</f>
        <v>0.605</v>
      </c>
      <c r="J71" s="50">
        <f>ROUND(+D71*(J67-J46-J61-J62-J63-J64-J58-J59),0)</f>
        <v>0</v>
      </c>
      <c r="K71" s="274"/>
      <c r="L71" s="177"/>
      <c r="M71" s="50">
        <f>ROUND(+E71*(M67-M46-M61-M62-M63-M64-M58-M59),0)</f>
        <v>0</v>
      </c>
      <c r="N71" s="274"/>
      <c r="O71" s="50"/>
      <c r="P71" s="50">
        <f>ROUND(+F71*(P67-P46-P61-P62-P63-P64-P58-P59),0)</f>
        <v>0</v>
      </c>
      <c r="Q71" s="274"/>
      <c r="R71" s="50"/>
      <c r="S71" s="50">
        <f>ROUND(+G71*(S67-S46-S61-S62-S63-S64-S58-S59),0)</f>
        <v>0</v>
      </c>
      <c r="T71" s="274"/>
      <c r="U71" s="50"/>
      <c r="V71" s="50">
        <f>ROUND(+H71*(V67-V46-V61-V62-V63-V64-V58-V59),0)</f>
        <v>0</v>
      </c>
      <c r="W71" s="50"/>
      <c r="X71" s="50"/>
      <c r="Y71" s="42">
        <f>+J71+M71+P71+S71+V71</f>
        <v>0</v>
      </c>
      <c r="Z71" s="5"/>
    </row>
    <row r="72" spans="1:26" ht="15.75">
      <c r="A72" s="13" t="s">
        <v>44</v>
      </c>
      <c r="D72" s="7">
        <f aca="true" t="shared" si="22" ref="D72:H74">+D71</f>
        <v>0.605</v>
      </c>
      <c r="E72" s="7">
        <f t="shared" si="22"/>
        <v>0.605</v>
      </c>
      <c r="F72" s="7">
        <f t="shared" si="22"/>
        <v>0.605</v>
      </c>
      <c r="G72" s="7">
        <f t="shared" si="22"/>
        <v>0.605</v>
      </c>
      <c r="H72" s="7">
        <f t="shared" si="22"/>
        <v>0.605</v>
      </c>
      <c r="J72" s="50">
        <f>(IF((J61)&gt;25000,(25000),J61)*D72)</f>
        <v>0</v>
      </c>
      <c r="K72" s="50"/>
      <c r="L72" s="50"/>
      <c r="M72" s="50">
        <f>IF(J61&gt;=(25000),0,((IF((J61+M61)&lt;=(25000),M61,(25000-J61))))*E72)</f>
        <v>0</v>
      </c>
      <c r="N72" s="274"/>
      <c r="O72" s="50"/>
      <c r="P72" s="50">
        <f>IF(J61&gt;=(25000),0,(((IF((J61+M61)&gt;=(25000),0,((IF((J61+M61+P61)&lt;=(25000),P61,(25000-SUM(J61+M61)))))))))*F72)</f>
        <v>0</v>
      </c>
      <c r="Q72" s="274"/>
      <c r="R72" s="50"/>
      <c r="S72" s="50">
        <f>IF(J61&gt;=(25000),0,(((IF((J61+M61)&gt;=(25000),0,((IF((J61+M61+P61)&gt;=(25000),0,(IF((J61+M61+P61+S61)&lt;=(25000),S61,(25000-SUM(J61+M61+P61)))))))))))*G72)</f>
        <v>0</v>
      </c>
      <c r="T72" s="274"/>
      <c r="U72" s="50"/>
      <c r="V72" s="50">
        <f>IF(M61&gt;=(25000),0,(((IF((M61+P61)&gt;=(25000),0,((IF((M61+P61+S61)&gt;=(25000),0,(IF((M61+P61+S61+V61)&lt;=(25000),V61,(25000-SUM(M61+P61+S61)))))))))))*J72)</f>
        <v>0</v>
      </c>
      <c r="W72" s="50"/>
      <c r="X72" s="50"/>
      <c r="Y72" s="42">
        <f>+J72+M72+P72+S72+V72</f>
        <v>0</v>
      </c>
      <c r="Z72" s="5"/>
    </row>
    <row r="73" spans="1:26" ht="15.75">
      <c r="A73" s="13" t="s">
        <v>45</v>
      </c>
      <c r="D73" s="7">
        <f t="shared" si="22"/>
        <v>0.605</v>
      </c>
      <c r="E73" s="7">
        <f t="shared" si="22"/>
        <v>0.605</v>
      </c>
      <c r="F73" s="7">
        <f t="shared" si="22"/>
        <v>0.605</v>
      </c>
      <c r="G73" s="7">
        <f t="shared" si="22"/>
        <v>0.605</v>
      </c>
      <c r="H73" s="7">
        <f t="shared" si="22"/>
        <v>0.605</v>
      </c>
      <c r="J73" s="50">
        <f>(IF((J62)&gt;25000,(25000),J62)*D73)</f>
        <v>0</v>
      </c>
      <c r="K73" s="274"/>
      <c r="L73" s="177"/>
      <c r="M73" s="50">
        <f>IF(J62&gt;=(25000),0,((IF((J62+M62)&lt;=(25000),M62,(25000-J62))))*E73)</f>
        <v>0</v>
      </c>
      <c r="N73" s="274"/>
      <c r="O73" s="50"/>
      <c r="P73" s="50">
        <f>IF(J62&gt;=(25000),0,(((IF((J62+M62)&gt;=(25000),0,((IF((J62+M62+P62)&lt;=(25000),P62,(25000-SUM(J62+M62)))))))))*F73)</f>
        <v>0</v>
      </c>
      <c r="Q73" s="274"/>
      <c r="R73" s="50"/>
      <c r="S73" s="50">
        <f>IF(J62&gt;=(25000),0,(((IF((J62+M62)&gt;=(25000),0,((IF((J62+M62+P62)&gt;=(25000),0,(IF((J62+M62+P62+S62)&lt;=(25000),S62,(25000-SUM(J62+M62+P62)))))))))))*G73)</f>
        <v>0</v>
      </c>
      <c r="T73" s="274"/>
      <c r="U73" s="50"/>
      <c r="V73" s="50">
        <f>IF(M62&gt;=(25000),0,(((IF((M62+P62)&gt;=(25000),0,((IF((M62+P62+S62)&gt;=(25000),0,(IF((M62+P62+S62+V62)&lt;=(25000),V62,(25000-SUM(M62+P62+S62)))))))))))*J73)</f>
        <v>0</v>
      </c>
      <c r="W73" s="50"/>
      <c r="X73" s="50"/>
      <c r="Y73" s="42">
        <f>+J73+M73+P73+S73+V73</f>
        <v>0</v>
      </c>
      <c r="Z73" s="5"/>
    </row>
    <row r="74" spans="1:26" ht="15.75">
      <c r="A74" s="13" t="s">
        <v>94</v>
      </c>
      <c r="D74" s="7">
        <f t="shared" si="22"/>
        <v>0.605</v>
      </c>
      <c r="E74" s="7">
        <f t="shared" si="22"/>
        <v>0.605</v>
      </c>
      <c r="F74" s="7">
        <f t="shared" si="22"/>
        <v>0.605</v>
      </c>
      <c r="G74" s="7">
        <f t="shared" si="22"/>
        <v>0.605</v>
      </c>
      <c r="H74" s="7">
        <f t="shared" si="22"/>
        <v>0.605</v>
      </c>
      <c r="J74" s="50">
        <f>(IF((J63)&gt;25000,(25000),J63)*D74)</f>
        <v>0</v>
      </c>
      <c r="K74" s="274"/>
      <c r="L74" s="177"/>
      <c r="M74" s="50">
        <f>IF(J63&gt;=(25000),0,((IF((J63+M63)&lt;=(25000),M63,(25000-J63))))*E74)</f>
        <v>0</v>
      </c>
      <c r="N74" s="274"/>
      <c r="O74" s="50"/>
      <c r="P74" s="50">
        <f>IF(J63&gt;=(25000),0,(((IF((J63+M63)&gt;=(25000),0,((IF((J63+M63+P63)&lt;=(25000),P63,(25000-SUM(J63+M63)))))))))*F74)</f>
        <v>0</v>
      </c>
      <c r="Q74" s="274"/>
      <c r="R74" s="50"/>
      <c r="S74" s="50">
        <f>IF(J63&gt;=(25000),0,(((IF((J63+M63)&gt;=(25000),0,((IF((J63+M63+P63)&gt;=(25000),0,(IF((J63+M63+P63+S63)&lt;=(25000),S63,(25000-SUM(J63+M63+P63)))))))))))*G74)</f>
        <v>0</v>
      </c>
      <c r="T74" s="274"/>
      <c r="U74" s="50"/>
      <c r="V74" s="50">
        <f>IF(M63&gt;=(25000),0,(((IF((M63+P63)&gt;=(25000),0,((IF((M63+P63+S63)&gt;=(25000),0,(IF((M63+P63+S63+V63)&lt;=(25000),V63,(25000-SUM(M63+P63+S63)))))))))))*J74)</f>
        <v>0</v>
      </c>
      <c r="W74" s="50"/>
      <c r="X74" s="50"/>
      <c r="Y74" s="42">
        <f>+J74+M74+P74+S74+V74</f>
        <v>0</v>
      </c>
      <c r="Z74" s="5"/>
    </row>
    <row r="75" spans="1:26" ht="15.75">
      <c r="A75" s="13" t="s">
        <v>95</v>
      </c>
      <c r="B75" s="1"/>
      <c r="C75" s="1"/>
      <c r="D75" s="7">
        <f>+D72</f>
        <v>0.605</v>
      </c>
      <c r="E75" s="7">
        <f>+E72</f>
        <v>0.605</v>
      </c>
      <c r="F75" s="7">
        <f>+F72</f>
        <v>0.605</v>
      </c>
      <c r="G75" s="7">
        <f>+G72</f>
        <v>0.605</v>
      </c>
      <c r="H75" s="7">
        <f>+H72</f>
        <v>0.605</v>
      </c>
      <c r="J75" s="50">
        <f>(IF((J64)&gt;25000,(25000),J64)*D75)</f>
        <v>0</v>
      </c>
      <c r="K75" s="274"/>
      <c r="L75" s="177"/>
      <c r="M75" s="50">
        <f>IF(J64&gt;=(25000),0,((IF((J64+M64)&lt;=(25000),M64,(25000-J64))))*E75)</f>
        <v>0</v>
      </c>
      <c r="N75" s="274"/>
      <c r="O75" s="50"/>
      <c r="P75" s="50">
        <f>IF(J64&gt;=(25000),0,(((IF((J64+M64)&gt;=(25000),0,((IF((J64+M64+P64)&lt;=(25000),P64,(25000-SUM(J64+M64)))))))))*F75)</f>
        <v>0</v>
      </c>
      <c r="Q75" s="274"/>
      <c r="R75" s="50"/>
      <c r="S75" s="50">
        <f>IF(J64&gt;=(25000),0,(((IF((J64+M64)&gt;=(25000),0,((IF((J64+M64+P64)&gt;=(25000),0,(IF((J64+M64+P64+S64)&lt;=(25000),S64,(25000-SUM(J64+M64+P64)))))))))))*G75)</f>
        <v>0</v>
      </c>
      <c r="T75" s="274"/>
      <c r="U75" s="50"/>
      <c r="V75" s="50">
        <f>IF(M64&gt;=(25000),0,(((IF((M64+P64)&gt;=(25000),0,((IF((M64+P64+S64)&gt;=(25000),0,(IF((M64+P64+S64+V64)&lt;=(25000),V64,(25000-SUM(M64+P64+S64)))))))))))*J75)</f>
        <v>0</v>
      </c>
      <c r="W75" s="50"/>
      <c r="X75" s="50"/>
      <c r="Y75" s="42">
        <f>+J75+M75+P75+S75+V75</f>
        <v>0</v>
      </c>
      <c r="Z75" s="5"/>
    </row>
    <row r="76" spans="1:26" ht="15.75">
      <c r="A76" s="40" t="s">
        <v>124</v>
      </c>
      <c r="B76" s="1"/>
      <c r="C76" s="24"/>
      <c r="D76" s="35"/>
      <c r="E76" s="7"/>
      <c r="F76" s="7"/>
      <c r="G76" s="7"/>
      <c r="H76" s="7"/>
      <c r="I76" s="7"/>
      <c r="J76" s="53">
        <f>SUM(J71:J75)</f>
        <v>0</v>
      </c>
      <c r="K76" s="161"/>
      <c r="L76" s="180"/>
      <c r="M76" s="53">
        <f>SUM(M71:M75)</f>
        <v>0</v>
      </c>
      <c r="N76" s="161"/>
      <c r="O76" s="44"/>
      <c r="P76" s="53">
        <f>SUM(P71:P75)</f>
        <v>0</v>
      </c>
      <c r="Q76" s="161"/>
      <c r="R76" s="44"/>
      <c r="S76" s="53">
        <f>SUM(S71:S75)</f>
        <v>0</v>
      </c>
      <c r="T76" s="161"/>
      <c r="U76" s="44"/>
      <c r="V76" s="53">
        <f>SUM(V71:V75)</f>
        <v>0</v>
      </c>
      <c r="W76" s="44"/>
      <c r="X76" s="44"/>
      <c r="Y76" s="53">
        <f>SUM(Y71:Y75)</f>
        <v>0</v>
      </c>
      <c r="Z76" s="5"/>
    </row>
    <row r="77" spans="1:26" ht="6.75" customHeight="1">
      <c r="A77" s="40"/>
      <c r="B77" s="1"/>
      <c r="C77" s="24"/>
      <c r="D77" s="35"/>
      <c r="E77" s="7"/>
      <c r="F77" s="7"/>
      <c r="G77" s="7"/>
      <c r="H77" s="7"/>
      <c r="I77" s="7"/>
      <c r="J77" s="61"/>
      <c r="K77" s="161"/>
      <c r="L77" s="180"/>
      <c r="M77" s="62"/>
      <c r="N77" s="161"/>
      <c r="O77" s="44"/>
      <c r="P77" s="62"/>
      <c r="Q77" s="161"/>
      <c r="R77" s="44"/>
      <c r="S77" s="62"/>
      <c r="T77" s="161"/>
      <c r="U77" s="44"/>
      <c r="V77" s="44"/>
      <c r="W77" s="44"/>
      <c r="X77" s="44"/>
      <c r="Y77" s="62"/>
      <c r="Z77" s="5"/>
    </row>
    <row r="78" spans="1:26" ht="19.5" thickBot="1">
      <c r="A78" s="40"/>
      <c r="B78" s="1"/>
      <c r="C78" s="60" t="s">
        <v>46</v>
      </c>
      <c r="D78" s="35"/>
      <c r="E78" s="7"/>
      <c r="F78" s="7"/>
      <c r="G78" s="7"/>
      <c r="H78" s="7"/>
      <c r="I78" s="7"/>
      <c r="J78" s="72">
        <f>J76+J67</f>
        <v>0</v>
      </c>
      <c r="K78" s="162"/>
      <c r="L78" s="181"/>
      <c r="M78" s="72">
        <f>M76+M67</f>
        <v>0</v>
      </c>
      <c r="N78" s="162"/>
      <c r="O78" s="65"/>
      <c r="P78" s="72">
        <f>P76+P67</f>
        <v>0</v>
      </c>
      <c r="Q78" s="162"/>
      <c r="R78" s="65"/>
      <c r="S78" s="72">
        <f>S76+S67</f>
        <v>0</v>
      </c>
      <c r="T78" s="162"/>
      <c r="U78" s="65"/>
      <c r="V78" s="72">
        <f>V76+V67</f>
        <v>0</v>
      </c>
      <c r="W78" s="65"/>
      <c r="X78" s="65"/>
      <c r="Y78" s="72">
        <f>+J78+M78+P78+S78+V78</f>
        <v>0</v>
      </c>
      <c r="Z78" s="5"/>
    </row>
    <row r="79" spans="1:26" ht="8.25" customHeight="1" thickTop="1">
      <c r="A79" s="28"/>
      <c r="B79" s="1"/>
      <c r="C79" s="35"/>
      <c r="D79" s="7"/>
      <c r="E79" s="7"/>
      <c r="F79" s="7"/>
      <c r="G79" s="7"/>
      <c r="H79" s="7"/>
      <c r="I79" s="7"/>
      <c r="J79" s="50"/>
      <c r="K79" s="274"/>
      <c r="L79" s="177"/>
      <c r="M79" s="50"/>
      <c r="N79" s="274"/>
      <c r="O79" s="50"/>
      <c r="P79" s="50"/>
      <c r="Q79" s="274"/>
      <c r="R79" s="50"/>
      <c r="S79" s="50"/>
      <c r="T79" s="274"/>
      <c r="U79" s="50"/>
      <c r="V79" s="50"/>
      <c r="W79" s="50"/>
      <c r="X79" s="50"/>
      <c r="Y79" s="50" t="s">
        <v>1</v>
      </c>
      <c r="Z79" s="5"/>
    </row>
    <row r="80" spans="1:26" ht="9" customHeight="1">
      <c r="A80" s="1"/>
      <c r="B80" s="1"/>
      <c r="C80" s="1"/>
      <c r="D80" s="1"/>
      <c r="E80" s="1"/>
      <c r="F80" s="1"/>
      <c r="G80" s="1"/>
      <c r="H80" s="1"/>
      <c r="I80" s="1"/>
      <c r="J80" s="49"/>
      <c r="K80" s="165"/>
      <c r="L80" s="184"/>
      <c r="M80" s="58"/>
      <c r="N80" s="165"/>
      <c r="O80" s="57"/>
      <c r="P80" s="58"/>
      <c r="Q80" s="165"/>
      <c r="R80" s="57"/>
      <c r="S80" s="58"/>
      <c r="T80" s="165"/>
      <c r="U80" s="57"/>
      <c r="V80" s="57"/>
      <c r="W80" s="57"/>
      <c r="X80" s="57"/>
      <c r="Y80" s="58"/>
      <c r="Z80" s="1"/>
    </row>
    <row r="81" ht="15.75">
      <c r="C81" s="36" t="s">
        <v>126</v>
      </c>
    </row>
    <row r="82" spans="3:7" ht="15.75">
      <c r="C82" s="14" t="s">
        <v>47</v>
      </c>
      <c r="E82" s="15" t="s">
        <v>48</v>
      </c>
      <c r="G82" s="14" t="s">
        <v>49</v>
      </c>
    </row>
    <row r="83" spans="3:6" ht="15.75">
      <c r="C83" s="14" t="s">
        <v>205</v>
      </c>
      <c r="E83" s="9">
        <v>0.1</v>
      </c>
      <c r="F83" s="9"/>
    </row>
    <row r="84" spans="3:7" ht="15.75">
      <c r="C84" s="14" t="s">
        <v>50</v>
      </c>
      <c r="E84" s="172" t="s">
        <v>51</v>
      </c>
      <c r="G84" s="14" t="s">
        <v>52</v>
      </c>
    </row>
    <row r="86" spans="4:21" ht="15.75">
      <c r="D86" s="222" t="s">
        <v>231</v>
      </c>
      <c r="H86" s="220">
        <f>+'RATES-Fed'!E31</f>
        <v>0.605</v>
      </c>
      <c r="J86" s="219">
        <f>J76/12*'RATES-Fed'!$C$46</f>
        <v>0</v>
      </c>
      <c r="L86" s="220">
        <f>+'RATES-Fed'!G31</f>
        <v>0.605</v>
      </c>
      <c r="M86" s="219">
        <f>M76/12*'RATES-Fed'!$C$46</f>
        <v>0</v>
      </c>
      <c r="O86" s="221">
        <f>+'RATES-Fed'!I31</f>
        <v>0.605</v>
      </c>
      <c r="P86" s="219">
        <f>P76/12*'RATES-Fed'!$C$46</f>
        <v>0</v>
      </c>
      <c r="R86" s="221">
        <f>+'RATES-Fed'!K31</f>
        <v>0.605</v>
      </c>
      <c r="S86" s="219">
        <f>S76/12*'RATES-Fed'!$C$46</f>
        <v>0</v>
      </c>
      <c r="T86" s="220">
        <f>+'RATES-Fed'!M31</f>
        <v>0.605</v>
      </c>
      <c r="U86" s="219">
        <f>U76/12*'RATES-Fed'!$C$46</f>
        <v>0</v>
      </c>
    </row>
    <row r="87" spans="4:21" ht="15.75" customHeight="1">
      <c r="D87" s="302" t="s">
        <v>232</v>
      </c>
      <c r="E87" s="302"/>
      <c r="F87" s="302"/>
      <c r="G87" s="302"/>
      <c r="H87" s="220">
        <f>+'RATES-Fed'!G31</f>
        <v>0.605</v>
      </c>
      <c r="J87" s="219">
        <f>J76/12*'RATES-Fed'!$D$46</f>
        <v>0</v>
      </c>
      <c r="L87" s="220">
        <f>+'RATES-Fed'!I31</f>
        <v>0.605</v>
      </c>
      <c r="M87" s="219">
        <f>M76/12*'RATES-Fed'!$D$46</f>
        <v>0</v>
      </c>
      <c r="O87" s="221">
        <f>+'RATES-Fed'!K31</f>
        <v>0.605</v>
      </c>
      <c r="P87" s="219">
        <f>P76/12*'RATES-Fed'!$D$46</f>
        <v>0</v>
      </c>
      <c r="R87" s="221">
        <f>+'RATES-Fed'!M31</f>
        <v>0.605</v>
      </c>
      <c r="S87" s="219">
        <f>S76/12*'RATES-Fed'!$D$46</f>
        <v>0</v>
      </c>
      <c r="T87" s="220">
        <f>+'RATES-Fed'!O31</f>
        <v>0.605</v>
      </c>
      <c r="U87" s="219">
        <f>U76/12*'RATES-Fed'!$D$46</f>
        <v>0</v>
      </c>
    </row>
    <row r="88" spans="4:26" ht="18.75">
      <c r="D88" s="302"/>
      <c r="E88" s="302"/>
      <c r="F88" s="302"/>
      <c r="G88" s="302"/>
      <c r="J88" s="219">
        <f>SUM(J86:J87)</f>
        <v>0</v>
      </c>
      <c r="M88" s="219">
        <f>SUM(M86:M87)</f>
        <v>0</v>
      </c>
      <c r="P88" s="219">
        <f>SUM(P86:P87)</f>
        <v>0</v>
      </c>
      <c r="S88" s="219">
        <f>SUM(S86:S87)</f>
        <v>0</v>
      </c>
      <c r="T88" s="219"/>
      <c r="U88" s="219">
        <f>SUM(U86:U87)</f>
        <v>0</v>
      </c>
      <c r="V88" s="199"/>
      <c r="W88" s="199"/>
      <c r="X88" s="199"/>
      <c r="Y88" s="199"/>
      <c r="Z88" s="199"/>
    </row>
  </sheetData>
  <sheetProtection/>
  <mergeCells count="7">
    <mergeCell ref="V8:X8"/>
    <mergeCell ref="K4:U5"/>
    <mergeCell ref="D87:G88"/>
    <mergeCell ref="J8:L8"/>
    <mergeCell ref="M8:O8"/>
    <mergeCell ref="P8:R8"/>
    <mergeCell ref="S8:U8"/>
  </mergeCells>
  <dataValidations count="1">
    <dataValidation type="list" allowBlank="1" showInputMessage="1" showErrorMessage="1" sqref="D11 D13 D15 D17:D18 D21:D24">
      <formula1>APPTS</formula1>
    </dataValidation>
  </dataValidations>
  <hyperlinks>
    <hyperlink ref="C58" r:id="rId1" display="UC Tuition rates (Not Subject to Indirect)"/>
  </hyperlinks>
  <printOptions horizontalCentered="1"/>
  <pageMargins left="0.25" right="0.25" top="0.75" bottom="0.75" header="0.3" footer="0.3"/>
  <pageSetup fitToHeight="1" fitToWidth="1" horizontalDpi="300" verticalDpi="300" orientation="landscape" scale="43" r:id="rId4"/>
  <legacyDrawing r:id="rId3"/>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IV63"/>
  <sheetViews>
    <sheetView showGridLines="0" zoomScale="70" zoomScaleNormal="70" workbookViewId="0" topLeftCell="A1">
      <selection activeCell="N64" sqref="N64"/>
    </sheetView>
  </sheetViews>
  <sheetFormatPr defaultColWidth="9.625" defaultRowHeight="15.75"/>
  <cols>
    <col min="1" max="1" width="2.625" style="78" customWidth="1"/>
    <col min="2" max="2" width="35.375" style="78" customWidth="1"/>
    <col min="3" max="3" width="4.50390625" style="78" customWidth="1"/>
    <col min="4" max="4" width="4.875" style="78" customWidth="1"/>
    <col min="5" max="5" width="9.625" style="78" customWidth="1"/>
    <col min="6" max="6" width="2.625" style="78" customWidth="1"/>
    <col min="7" max="7" width="9.625" style="78" customWidth="1"/>
    <col min="8" max="8" width="2.625" style="78" customWidth="1"/>
    <col min="9" max="9" width="9.625" style="78" customWidth="1"/>
    <col min="10" max="10" width="2.625" style="78" customWidth="1"/>
    <col min="11" max="11" width="9.625" style="78" customWidth="1"/>
    <col min="12" max="12" width="2.625" style="78" customWidth="1"/>
    <col min="13" max="13" width="9.625" style="78" customWidth="1"/>
    <col min="14" max="14" width="2.625" style="78" customWidth="1"/>
    <col min="15" max="15" width="10.50390625" style="78" customWidth="1"/>
    <col min="16" max="16" width="2.625" style="78" customWidth="1"/>
    <col min="17" max="18" width="9.625" style="78" customWidth="1"/>
    <col min="19" max="21" width="9.625" style="78" hidden="1" customWidth="1"/>
    <col min="22" max="22" width="3.25390625" style="78" hidden="1" customWidth="1"/>
    <col min="23" max="25" width="9.625" style="78" hidden="1" customWidth="1"/>
    <col min="26" max="16384" width="9.625" style="78" customWidth="1"/>
  </cols>
  <sheetData>
    <row r="1" spans="2:19" ht="15.75">
      <c r="B1" s="211"/>
      <c r="S1" s="211"/>
    </row>
    <row r="2" spans="2:19" ht="15.75">
      <c r="B2" s="223" t="s">
        <v>61</v>
      </c>
      <c r="C2" s="91"/>
      <c r="D2" s="91"/>
      <c r="E2" s="224">
        <v>42917</v>
      </c>
      <c r="F2" s="79" t="s">
        <v>62</v>
      </c>
      <c r="G2" s="224">
        <v>44742</v>
      </c>
      <c r="S2" s="211">
        <f>IF(E3="FY18",T4,IF(E3="FY19",T5,IF(E3="FY20",T6,IF(E3="FY21",T7,IF(E3="FY22",T8,IF(E3="FY23",T9,IF(E3="FY24",T10)))))))</f>
        <v>45475</v>
      </c>
    </row>
    <row r="3" spans="2:21" ht="15.75">
      <c r="B3" s="223" t="s">
        <v>233</v>
      </c>
      <c r="C3" s="91"/>
      <c r="D3" s="91"/>
      <c r="E3" s="80" t="s">
        <v>244</v>
      </c>
      <c r="F3" s="81"/>
      <c r="G3" s="80"/>
      <c r="U3" s="78" t="s">
        <v>280</v>
      </c>
    </row>
    <row r="4" spans="2:25" ht="18.75">
      <c r="B4" s="223" t="s">
        <v>234</v>
      </c>
      <c r="E4" s="225">
        <f>S2</f>
        <v>45475</v>
      </c>
      <c r="S4" s="88">
        <v>43281</v>
      </c>
      <c r="T4" s="78">
        <f>(DATEVALUE("07/01/2017"))+1462</f>
        <v>44379</v>
      </c>
      <c r="U4" s="226" t="s">
        <v>218</v>
      </c>
      <c r="W4" s="93" t="s">
        <v>108</v>
      </c>
      <c r="X4" s="211"/>
      <c r="Y4" s="211"/>
    </row>
    <row r="5" spans="1:25" ht="15.75">
      <c r="A5" s="227"/>
      <c r="E5" s="270" t="s">
        <v>218</v>
      </c>
      <c r="F5" s="211"/>
      <c r="G5" s="228" t="s">
        <v>220</v>
      </c>
      <c r="I5" s="228" t="s">
        <v>237</v>
      </c>
      <c r="K5" s="270" t="s">
        <v>244</v>
      </c>
      <c r="M5" s="228" t="s">
        <v>249</v>
      </c>
      <c r="O5" s="270" t="s">
        <v>260</v>
      </c>
      <c r="Q5" s="237" t="s">
        <v>263</v>
      </c>
      <c r="S5" s="88">
        <v>43646</v>
      </c>
      <c r="T5" s="78">
        <f>(DATEVALUE("07/01/2018"))+1462</f>
        <v>44744</v>
      </c>
      <c r="U5" s="226" t="s">
        <v>220</v>
      </c>
      <c r="W5" s="237" t="s">
        <v>221</v>
      </c>
      <c r="X5" s="92" t="s">
        <v>222</v>
      </c>
      <c r="Y5" s="211"/>
    </row>
    <row r="6" spans="1:256" ht="15.75">
      <c r="A6" s="229"/>
      <c r="B6" s="214" t="s">
        <v>63</v>
      </c>
      <c r="C6" s="229"/>
      <c r="D6" s="229"/>
      <c r="E6" s="271" t="s">
        <v>235</v>
      </c>
      <c r="F6" s="211"/>
      <c r="G6" s="230" t="s">
        <v>236</v>
      </c>
      <c r="I6" s="230" t="s">
        <v>243</v>
      </c>
      <c r="K6" s="271" t="s">
        <v>254</v>
      </c>
      <c r="M6" s="271" t="s">
        <v>261</v>
      </c>
      <c r="O6" s="271" t="s">
        <v>262</v>
      </c>
      <c r="Q6" s="237" t="s">
        <v>273</v>
      </c>
      <c r="R6" s="229"/>
      <c r="S6" s="88">
        <v>44012</v>
      </c>
      <c r="T6" s="78">
        <f>(DATEVALUE("07/01/2019"))+1462</f>
        <v>45109</v>
      </c>
      <c r="U6" s="226" t="s">
        <v>237</v>
      </c>
      <c r="V6" s="229"/>
      <c r="W6" s="91" t="s">
        <v>238</v>
      </c>
      <c r="X6" s="236" t="s">
        <v>251</v>
      </c>
      <c r="Y6" s="91"/>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29"/>
      <c r="BI6" s="229"/>
      <c r="BJ6" s="229"/>
      <c r="BK6" s="229"/>
      <c r="BL6" s="229"/>
      <c r="BM6" s="229"/>
      <c r="BN6" s="229"/>
      <c r="BO6" s="229"/>
      <c r="BP6" s="229"/>
      <c r="BQ6" s="229"/>
      <c r="BR6" s="229"/>
      <c r="BS6" s="229"/>
      <c r="BT6" s="229"/>
      <c r="BU6" s="229"/>
      <c r="BV6" s="229"/>
      <c r="BW6" s="229"/>
      <c r="BX6" s="229"/>
      <c r="BY6" s="229"/>
      <c r="BZ6" s="229"/>
      <c r="CA6" s="229"/>
      <c r="CB6" s="229"/>
      <c r="CC6" s="229"/>
      <c r="CD6" s="229"/>
      <c r="CE6" s="229"/>
      <c r="CF6" s="229"/>
      <c r="CG6" s="229"/>
      <c r="CH6" s="229"/>
      <c r="CI6" s="229"/>
      <c r="CJ6" s="229"/>
      <c r="CK6" s="229"/>
      <c r="CL6" s="229"/>
      <c r="CM6" s="229"/>
      <c r="CN6" s="229"/>
      <c r="CO6" s="229"/>
      <c r="CP6" s="229"/>
      <c r="CQ6" s="229"/>
      <c r="CR6" s="229"/>
      <c r="CS6" s="229"/>
      <c r="CT6" s="229"/>
      <c r="CU6" s="229"/>
      <c r="CV6" s="229"/>
      <c r="CW6" s="229"/>
      <c r="CX6" s="229"/>
      <c r="CY6" s="229"/>
      <c r="CZ6" s="229"/>
      <c r="DA6" s="229"/>
      <c r="DB6" s="229"/>
      <c r="DC6" s="229"/>
      <c r="DD6" s="229"/>
      <c r="DE6" s="229"/>
      <c r="DF6" s="229"/>
      <c r="DG6" s="229"/>
      <c r="DH6" s="229"/>
      <c r="DI6" s="229"/>
      <c r="DJ6" s="229"/>
      <c r="DK6" s="229"/>
      <c r="DL6" s="229"/>
      <c r="DM6" s="229"/>
      <c r="DN6" s="229"/>
      <c r="DO6" s="229"/>
      <c r="DP6" s="229"/>
      <c r="DQ6" s="229"/>
      <c r="DR6" s="229"/>
      <c r="DS6" s="229"/>
      <c r="DT6" s="229"/>
      <c r="DU6" s="229"/>
      <c r="DV6" s="229"/>
      <c r="DW6" s="229"/>
      <c r="DX6" s="229"/>
      <c r="DY6" s="229"/>
      <c r="DZ6" s="229"/>
      <c r="EA6" s="229"/>
      <c r="EB6" s="229"/>
      <c r="EC6" s="229"/>
      <c r="ED6" s="229"/>
      <c r="EE6" s="229"/>
      <c r="EF6" s="229"/>
      <c r="EG6" s="229"/>
      <c r="EH6" s="229"/>
      <c r="EI6" s="229"/>
      <c r="EJ6" s="229"/>
      <c r="EK6" s="229"/>
      <c r="EL6" s="229"/>
      <c r="EM6" s="229"/>
      <c r="EN6" s="229"/>
      <c r="EO6" s="229"/>
      <c r="EP6" s="229"/>
      <c r="EQ6" s="229"/>
      <c r="ER6" s="229"/>
      <c r="ES6" s="229"/>
      <c r="ET6" s="229"/>
      <c r="EU6" s="229"/>
      <c r="EV6" s="229"/>
      <c r="EW6" s="229"/>
      <c r="EX6" s="229"/>
      <c r="EY6" s="229"/>
      <c r="EZ6" s="229"/>
      <c r="FA6" s="229"/>
      <c r="FB6" s="229"/>
      <c r="FC6" s="229"/>
      <c r="FD6" s="229"/>
      <c r="FE6" s="229"/>
      <c r="FF6" s="229"/>
      <c r="FG6" s="229"/>
      <c r="FH6" s="229"/>
      <c r="FI6" s="229"/>
      <c r="FJ6" s="229"/>
      <c r="FK6" s="229"/>
      <c r="FL6" s="229"/>
      <c r="FM6" s="229"/>
      <c r="FN6" s="229"/>
      <c r="FO6" s="229"/>
      <c r="FP6" s="229"/>
      <c r="FQ6" s="229"/>
      <c r="FR6" s="229"/>
      <c r="FS6" s="229"/>
      <c r="FT6" s="229"/>
      <c r="FU6" s="229"/>
      <c r="FV6" s="229"/>
      <c r="FW6" s="229"/>
      <c r="FX6" s="229"/>
      <c r="FY6" s="229"/>
      <c r="FZ6" s="229"/>
      <c r="GA6" s="229"/>
      <c r="GB6" s="229"/>
      <c r="GC6" s="229"/>
      <c r="GD6" s="229"/>
      <c r="GE6" s="229"/>
      <c r="GF6" s="229"/>
      <c r="GG6" s="229"/>
      <c r="GH6" s="229"/>
      <c r="GI6" s="229"/>
      <c r="GJ6" s="229"/>
      <c r="GK6" s="229"/>
      <c r="GL6" s="229"/>
      <c r="GM6" s="229"/>
      <c r="GN6" s="229"/>
      <c r="GO6" s="229"/>
      <c r="GP6" s="229"/>
      <c r="GQ6" s="229"/>
      <c r="GR6" s="229"/>
      <c r="GS6" s="229"/>
      <c r="GT6" s="229"/>
      <c r="GU6" s="229"/>
      <c r="GV6" s="229"/>
      <c r="GW6" s="229"/>
      <c r="GX6" s="229"/>
      <c r="GY6" s="229"/>
      <c r="GZ6" s="229"/>
      <c r="HA6" s="229"/>
      <c r="HB6" s="229"/>
      <c r="HC6" s="229"/>
      <c r="HD6" s="229"/>
      <c r="HE6" s="229"/>
      <c r="HF6" s="229"/>
      <c r="HG6" s="229"/>
      <c r="HH6" s="229"/>
      <c r="HI6" s="229"/>
      <c r="HJ6" s="229"/>
      <c r="HK6" s="229"/>
      <c r="HL6" s="229"/>
      <c r="HM6" s="229"/>
      <c r="HN6" s="229"/>
      <c r="HO6" s="229"/>
      <c r="HP6" s="229"/>
      <c r="HQ6" s="229"/>
      <c r="HR6" s="229"/>
      <c r="HS6" s="229"/>
      <c r="HT6" s="229"/>
      <c r="HU6" s="229"/>
      <c r="HV6" s="229"/>
      <c r="HW6" s="229"/>
      <c r="HX6" s="229"/>
      <c r="HY6" s="229"/>
      <c r="HZ6" s="229"/>
      <c r="IA6" s="229"/>
      <c r="IB6" s="229"/>
      <c r="IC6" s="229"/>
      <c r="ID6" s="229"/>
      <c r="IE6" s="229"/>
      <c r="IF6" s="229"/>
      <c r="IG6" s="229"/>
      <c r="IH6" s="229"/>
      <c r="II6" s="229"/>
      <c r="IJ6" s="229"/>
      <c r="IK6" s="229"/>
      <c r="IL6" s="229"/>
      <c r="IM6" s="229"/>
      <c r="IN6" s="229"/>
      <c r="IO6" s="229"/>
      <c r="IP6" s="229"/>
      <c r="IQ6" s="229"/>
      <c r="IR6" s="229"/>
      <c r="IS6" s="229"/>
      <c r="IT6" s="229"/>
      <c r="IU6" s="229"/>
      <c r="IV6" s="229"/>
    </row>
    <row r="7" spans="2:25" ht="15.75">
      <c r="B7" s="82" t="s">
        <v>64</v>
      </c>
      <c r="E7" s="210">
        <v>0.282</v>
      </c>
      <c r="F7" s="211"/>
      <c r="G7" s="210">
        <v>0.293</v>
      </c>
      <c r="H7" s="211"/>
      <c r="I7" s="210">
        <f>SUM(G7+0.005)</f>
        <v>0.298</v>
      </c>
      <c r="J7" s="211"/>
      <c r="K7" s="210">
        <f>SUM(I7+0.01)</f>
        <v>0.308</v>
      </c>
      <c r="M7" s="210">
        <f>SUM(K7+0.005)</f>
        <v>0.313</v>
      </c>
      <c r="O7" s="210">
        <f>SUM(M7+0.01)</f>
        <v>0.323</v>
      </c>
      <c r="Q7" s="210">
        <f>SUM(O7+0.005)</f>
        <v>0.328</v>
      </c>
      <c r="S7" s="88">
        <v>44377</v>
      </c>
      <c r="T7" s="78">
        <f>(DATEVALUE("07/01/2020"))+1462</f>
        <v>45475</v>
      </c>
      <c r="U7" s="226" t="s">
        <v>244</v>
      </c>
      <c r="W7" s="91" t="s">
        <v>239</v>
      </c>
      <c r="X7" s="236" t="s">
        <v>252</v>
      </c>
      <c r="Y7" s="211"/>
    </row>
    <row r="8" spans="2:25" ht="15.75">
      <c r="B8" s="82" t="s">
        <v>269</v>
      </c>
      <c r="E8" s="210">
        <v>0.337</v>
      </c>
      <c r="F8" s="211"/>
      <c r="G8" s="210">
        <v>0.37</v>
      </c>
      <c r="H8" s="211"/>
      <c r="I8" s="210">
        <f>SUM(G8+0.005)</f>
        <v>0.375</v>
      </c>
      <c r="J8" s="211"/>
      <c r="K8" s="210">
        <f>SUM(I8+0.01)</f>
        <v>0.385</v>
      </c>
      <c r="M8" s="210">
        <f>SUM(K8+0.005)</f>
        <v>0.39</v>
      </c>
      <c r="O8" s="210">
        <f>SUM(M8+0.01)</f>
        <v>0.4</v>
      </c>
      <c r="Q8" s="210">
        <f>SUM(O8+0.005)</f>
        <v>0.405</v>
      </c>
      <c r="S8" s="88">
        <v>44742</v>
      </c>
      <c r="T8" s="78">
        <f>(DATEVALUE("07/01/2017"))+1462</f>
        <v>44379</v>
      </c>
      <c r="U8" s="238" t="s">
        <v>249</v>
      </c>
      <c r="W8" s="91" t="s">
        <v>250</v>
      </c>
      <c r="X8" s="237" t="s">
        <v>253</v>
      </c>
      <c r="Y8" s="91"/>
    </row>
    <row r="9" spans="2:25" ht="15.75">
      <c r="B9" s="82" t="s">
        <v>270</v>
      </c>
      <c r="E9" s="210">
        <v>0</v>
      </c>
      <c r="F9" s="211"/>
      <c r="G9" s="210">
        <v>0.353</v>
      </c>
      <c r="H9" s="211"/>
      <c r="I9" s="210">
        <f>SUM(G9+0.005)</f>
        <v>0.358</v>
      </c>
      <c r="J9" s="211"/>
      <c r="K9" s="210">
        <f>SUM(I9+0.01)</f>
        <v>0.368</v>
      </c>
      <c r="M9" s="210">
        <f>SUM(K9+0.005)</f>
        <v>0.373</v>
      </c>
      <c r="O9" s="210">
        <f>SUM(M9+0.01)</f>
        <v>0.383</v>
      </c>
      <c r="Q9" s="210">
        <f>SUM(O9+0.005)</f>
        <v>0.388</v>
      </c>
      <c r="S9" s="88">
        <v>45107</v>
      </c>
      <c r="T9" s="78">
        <f>(DATEVALUE("07/01/2022"))+1462</f>
        <v>46205</v>
      </c>
      <c r="U9" s="226" t="s">
        <v>260</v>
      </c>
      <c r="W9" s="91" t="s">
        <v>258</v>
      </c>
      <c r="X9" s="236" t="s">
        <v>259</v>
      </c>
      <c r="Y9" s="91"/>
    </row>
    <row r="10" spans="2:25" ht="15.75">
      <c r="B10" s="82" t="s">
        <v>65</v>
      </c>
      <c r="E10" s="210">
        <v>0.418</v>
      </c>
      <c r="F10" s="211"/>
      <c r="G10" s="210">
        <v>0.452</v>
      </c>
      <c r="H10" s="211"/>
      <c r="I10" s="210">
        <f>SUM(G10+0.005)</f>
        <v>0.457</v>
      </c>
      <c r="J10" s="211"/>
      <c r="K10" s="210">
        <f>SUM(I10+0.01)</f>
        <v>0.467</v>
      </c>
      <c r="M10" s="210">
        <f>SUM(K10+0.005)</f>
        <v>0.47200000000000003</v>
      </c>
      <c r="O10" s="210">
        <f>SUM(M10+0.01)</f>
        <v>0.48200000000000004</v>
      </c>
      <c r="Q10" s="210">
        <f>SUM(O10+0.005)</f>
        <v>0.48700000000000004</v>
      </c>
      <c r="S10" s="88">
        <v>45473</v>
      </c>
      <c r="T10" s="78">
        <f>(DATEVALUE("07/01/2023"))+1462</f>
        <v>46570</v>
      </c>
      <c r="U10" s="226" t="s">
        <v>263</v>
      </c>
      <c r="W10" s="91" t="s">
        <v>264</v>
      </c>
      <c r="X10" s="236" t="s">
        <v>265</v>
      </c>
      <c r="Y10" s="91"/>
    </row>
    <row r="11" spans="2:25" ht="15.75">
      <c r="B11" s="82" t="s">
        <v>66</v>
      </c>
      <c r="E11" s="210">
        <v>0.074</v>
      </c>
      <c r="F11" s="211"/>
      <c r="G11" s="210">
        <v>0.079</v>
      </c>
      <c r="H11" s="211"/>
      <c r="I11" s="210">
        <v>0.079</v>
      </c>
      <c r="J11" s="211"/>
      <c r="K11" s="210">
        <v>0.079</v>
      </c>
      <c r="M11" s="210">
        <v>0.079</v>
      </c>
      <c r="O11" s="210">
        <v>0.079</v>
      </c>
      <c r="Q11" s="272">
        <v>0.079</v>
      </c>
      <c r="W11" s="91" t="s">
        <v>271</v>
      </c>
      <c r="X11" s="92" t="s">
        <v>272</v>
      </c>
      <c r="Y11" s="211"/>
    </row>
    <row r="12" spans="2:17" ht="15.75">
      <c r="B12" s="82" t="s">
        <v>87</v>
      </c>
      <c r="E12" s="210">
        <v>0.234</v>
      </c>
      <c r="F12" s="211"/>
      <c r="G12" s="210">
        <v>0.269</v>
      </c>
      <c r="H12" s="211"/>
      <c r="I12" s="210">
        <f>SUM(G12+0.005)</f>
        <v>0.274</v>
      </c>
      <c r="J12" s="211"/>
      <c r="K12" s="210">
        <f>SUM(I12+0.01)</f>
        <v>0.28400000000000003</v>
      </c>
      <c r="M12" s="210">
        <f>SUM(K12+0.005)</f>
        <v>0.28900000000000003</v>
      </c>
      <c r="O12" s="210">
        <f>SUM(M12+0.01)</f>
        <v>0.29900000000000004</v>
      </c>
      <c r="Q12" s="210">
        <f>SUM(O12+0.005)</f>
        <v>0.30400000000000005</v>
      </c>
    </row>
    <row r="13" spans="5:15" ht="15.75">
      <c r="E13" s="210"/>
      <c r="F13" s="83"/>
      <c r="G13" s="210"/>
      <c r="I13" s="210"/>
      <c r="J13" s="233" t="s">
        <v>242</v>
      </c>
      <c r="K13" s="210"/>
      <c r="M13" s="210"/>
      <c r="O13" s="210"/>
    </row>
    <row r="14" spans="2:20" ht="15.75">
      <c r="B14" s="214" t="s">
        <v>223</v>
      </c>
      <c r="E14" s="83"/>
      <c r="F14" s="83"/>
      <c r="G14" s="83"/>
      <c r="I14" s="83"/>
      <c r="K14" s="83"/>
      <c r="M14" s="83"/>
      <c r="O14" s="83"/>
      <c r="Q14" s="83"/>
      <c r="S14" s="86" t="s">
        <v>218</v>
      </c>
      <c r="T14" s="211">
        <v>2019</v>
      </c>
    </row>
    <row r="15" spans="2:20" ht="15.75">
      <c r="B15" s="82" t="s">
        <v>224</v>
      </c>
      <c r="E15" s="210">
        <v>0.595</v>
      </c>
      <c r="F15" s="210"/>
      <c r="G15" s="210">
        <v>0.6</v>
      </c>
      <c r="H15" s="210"/>
      <c r="I15" s="210">
        <v>0.605</v>
      </c>
      <c r="J15" s="210"/>
      <c r="K15" s="210">
        <v>0.605</v>
      </c>
      <c r="L15" s="210"/>
      <c r="M15" s="210">
        <v>0.605</v>
      </c>
      <c r="O15" s="210">
        <f>+M15</f>
        <v>0.605</v>
      </c>
      <c r="Q15" s="210">
        <f>+O15</f>
        <v>0.605</v>
      </c>
      <c r="S15" s="86" t="s">
        <v>220</v>
      </c>
      <c r="T15" s="211">
        <v>2020</v>
      </c>
    </row>
    <row r="16" spans="2:22" ht="15.75">
      <c r="B16" s="82" t="s">
        <v>225</v>
      </c>
      <c r="E16" s="210">
        <v>0.57</v>
      </c>
      <c r="F16" s="210"/>
      <c r="G16" s="210">
        <v>0.57</v>
      </c>
      <c r="H16" s="210"/>
      <c r="I16" s="210">
        <v>0.57</v>
      </c>
      <c r="J16" s="210"/>
      <c r="K16" s="210">
        <v>0.57</v>
      </c>
      <c r="L16" s="210"/>
      <c r="M16" s="210">
        <v>0.57</v>
      </c>
      <c r="O16" s="210">
        <f>+M16</f>
        <v>0.57</v>
      </c>
      <c r="Q16" s="210">
        <f>+O16</f>
        <v>0.57</v>
      </c>
      <c r="S16" s="86" t="s">
        <v>237</v>
      </c>
      <c r="T16" s="211">
        <v>2021</v>
      </c>
      <c r="V16" s="88"/>
    </row>
    <row r="17" spans="2:20" ht="15.75">
      <c r="B17" s="82" t="s">
        <v>226</v>
      </c>
      <c r="E17" s="210">
        <v>0.3</v>
      </c>
      <c r="F17" s="210"/>
      <c r="G17" s="210">
        <v>0.3</v>
      </c>
      <c r="H17" s="210"/>
      <c r="I17" s="210">
        <v>0.3</v>
      </c>
      <c r="J17" s="210"/>
      <c r="K17" s="210">
        <v>0.3</v>
      </c>
      <c r="L17" s="210"/>
      <c r="M17" s="210">
        <v>0.3</v>
      </c>
      <c r="O17" s="210">
        <f>+M17</f>
        <v>0.3</v>
      </c>
      <c r="Q17" s="210">
        <f>+O17</f>
        <v>0.3</v>
      </c>
      <c r="S17" s="86" t="s">
        <v>244</v>
      </c>
      <c r="T17" s="211">
        <v>2022</v>
      </c>
    </row>
    <row r="18" spans="5:20" ht="15.75">
      <c r="E18" s="210"/>
      <c r="F18" s="83"/>
      <c r="G18" s="210"/>
      <c r="H18" s="83"/>
      <c r="I18" s="210"/>
      <c r="J18" s="83"/>
      <c r="K18" s="210"/>
      <c r="M18" s="210"/>
      <c r="O18" s="210"/>
      <c r="Q18" s="210"/>
      <c r="S18" s="86" t="s">
        <v>249</v>
      </c>
      <c r="T18" s="211">
        <v>2023</v>
      </c>
    </row>
    <row r="19" spans="2:26" ht="15.75">
      <c r="B19" s="214" t="s">
        <v>240</v>
      </c>
      <c r="E19" s="83"/>
      <c r="F19" s="83"/>
      <c r="G19" s="83"/>
      <c r="H19" s="83"/>
      <c r="I19" s="83"/>
      <c r="J19" s="83"/>
      <c r="K19" s="83"/>
      <c r="M19" s="83"/>
      <c r="O19" s="83"/>
      <c r="Q19" s="83"/>
      <c r="S19" s="86" t="s">
        <v>260</v>
      </c>
      <c r="T19" s="211">
        <v>2024</v>
      </c>
      <c r="Z19" s="233"/>
    </row>
    <row r="20" spans="2:20" ht="15.75">
      <c r="B20" s="82" t="s">
        <v>224</v>
      </c>
      <c r="E20" s="210">
        <v>0.26</v>
      </c>
      <c r="F20" s="83"/>
      <c r="G20" s="210">
        <v>0.26</v>
      </c>
      <c r="H20" s="83"/>
      <c r="I20" s="210">
        <v>0.26</v>
      </c>
      <c r="J20" s="83"/>
      <c r="K20" s="210">
        <v>0.26</v>
      </c>
      <c r="M20" s="210">
        <v>0.26</v>
      </c>
      <c r="O20" s="210">
        <v>0.26</v>
      </c>
      <c r="Q20" s="210">
        <v>0.26</v>
      </c>
      <c r="S20" s="86" t="s">
        <v>263</v>
      </c>
      <c r="T20" s="211">
        <v>2025</v>
      </c>
    </row>
    <row r="21" spans="2:17" ht="15.75">
      <c r="B21" s="82" t="s">
        <v>225</v>
      </c>
      <c r="E21" s="210">
        <v>0.26</v>
      </c>
      <c r="F21" s="83"/>
      <c r="G21" s="210">
        <v>0.26</v>
      </c>
      <c r="H21" s="83"/>
      <c r="I21" s="210">
        <v>0.26</v>
      </c>
      <c r="J21" s="83"/>
      <c r="K21" s="210">
        <v>0.26</v>
      </c>
      <c r="M21" s="210">
        <v>0.26</v>
      </c>
      <c r="O21" s="210">
        <v>0.26</v>
      </c>
      <c r="Q21" s="210">
        <v>0.26</v>
      </c>
    </row>
    <row r="22" spans="2:21" ht="15.75">
      <c r="B22" s="82" t="s">
        <v>226</v>
      </c>
      <c r="E22" s="210">
        <v>0.26</v>
      </c>
      <c r="F22" s="83"/>
      <c r="G22" s="210">
        <v>0.26</v>
      </c>
      <c r="H22" s="83"/>
      <c r="I22" s="210">
        <v>0.26</v>
      </c>
      <c r="J22" s="83"/>
      <c r="K22" s="210">
        <v>0.26</v>
      </c>
      <c r="M22" s="210">
        <v>0.26</v>
      </c>
      <c r="O22" s="210">
        <v>0.26</v>
      </c>
      <c r="Q22" s="210">
        <v>0.26</v>
      </c>
      <c r="U22" s="211"/>
    </row>
    <row r="24" spans="1:256" ht="15.75">
      <c r="A24" s="229"/>
      <c r="B24" s="278" t="s">
        <v>100</v>
      </c>
      <c r="C24" s="279"/>
      <c r="D24" s="279"/>
      <c r="E24" s="280" t="s">
        <v>21</v>
      </c>
      <c r="F24" s="279"/>
      <c r="G24" s="280" t="s">
        <v>54</v>
      </c>
      <c r="H24" s="279"/>
      <c r="I24" s="280" t="s">
        <v>56</v>
      </c>
      <c r="J24" s="279"/>
      <c r="K24" s="280" t="s">
        <v>58</v>
      </c>
      <c r="L24" s="279"/>
      <c r="M24" s="280" t="s">
        <v>60</v>
      </c>
      <c r="N24" s="279"/>
      <c r="O24" s="280" t="s">
        <v>101</v>
      </c>
      <c r="P24" s="279"/>
      <c r="Q24" s="280" t="s">
        <v>102</v>
      </c>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229"/>
      <c r="BI24" s="229"/>
      <c r="BJ24" s="229"/>
      <c r="BK24" s="229"/>
      <c r="BL24" s="229"/>
      <c r="BM24" s="229"/>
      <c r="BN24" s="229"/>
      <c r="BO24" s="229"/>
      <c r="BP24" s="229"/>
      <c r="BQ24" s="229"/>
      <c r="BR24" s="229"/>
      <c r="BS24" s="229"/>
      <c r="BT24" s="229"/>
      <c r="BU24" s="229"/>
      <c r="BV24" s="229"/>
      <c r="BW24" s="229"/>
      <c r="BX24" s="229"/>
      <c r="BY24" s="229"/>
      <c r="BZ24" s="229"/>
      <c r="CA24" s="229"/>
      <c r="CB24" s="229"/>
      <c r="CC24" s="229"/>
      <c r="CD24" s="229"/>
      <c r="CE24" s="229"/>
      <c r="CF24" s="229"/>
      <c r="CG24" s="229"/>
      <c r="CH24" s="229"/>
      <c r="CI24" s="229"/>
      <c r="CJ24" s="229"/>
      <c r="CK24" s="229"/>
      <c r="CL24" s="229"/>
      <c r="CM24" s="229"/>
      <c r="CN24" s="229"/>
      <c r="CO24" s="229"/>
      <c r="CP24" s="229"/>
      <c r="CQ24" s="229"/>
      <c r="CR24" s="229"/>
      <c r="CS24" s="229"/>
      <c r="CT24" s="229"/>
      <c r="CU24" s="229"/>
      <c r="CV24" s="229"/>
      <c r="CW24" s="229"/>
      <c r="CX24" s="229"/>
      <c r="CY24" s="229"/>
      <c r="CZ24" s="229"/>
      <c r="DA24" s="229"/>
      <c r="DB24" s="229"/>
      <c r="DC24" s="229"/>
      <c r="DD24" s="229"/>
      <c r="DE24" s="229"/>
      <c r="DF24" s="229"/>
      <c r="DG24" s="229"/>
      <c r="DH24" s="229"/>
      <c r="DI24" s="229"/>
      <c r="DJ24" s="229"/>
      <c r="DK24" s="229"/>
      <c r="DL24" s="229"/>
      <c r="DM24" s="229"/>
      <c r="DN24" s="229"/>
      <c r="DO24" s="229"/>
      <c r="DP24" s="229"/>
      <c r="DQ24" s="229"/>
      <c r="DR24" s="229"/>
      <c r="DS24" s="229"/>
      <c r="DT24" s="229"/>
      <c r="DU24" s="229"/>
      <c r="DV24" s="229"/>
      <c r="DW24" s="229"/>
      <c r="DX24" s="229"/>
      <c r="DY24" s="229"/>
      <c r="DZ24" s="229"/>
      <c r="EA24" s="229"/>
      <c r="EB24" s="229"/>
      <c r="EC24" s="229"/>
      <c r="ED24" s="229"/>
      <c r="EE24" s="229"/>
      <c r="EF24" s="229"/>
      <c r="EG24" s="229"/>
      <c r="EH24" s="229"/>
      <c r="EI24" s="229"/>
      <c r="EJ24" s="229"/>
      <c r="EK24" s="229"/>
      <c r="EL24" s="229"/>
      <c r="EM24" s="229"/>
      <c r="EN24" s="229"/>
      <c r="EO24" s="229"/>
      <c r="EP24" s="229"/>
      <c r="EQ24" s="229"/>
      <c r="ER24" s="229"/>
      <c r="ES24" s="229"/>
      <c r="ET24" s="229"/>
      <c r="EU24" s="229"/>
      <c r="EV24" s="229"/>
      <c r="EW24" s="229"/>
      <c r="EX24" s="229"/>
      <c r="EY24" s="229"/>
      <c r="EZ24" s="229"/>
      <c r="FA24" s="229"/>
      <c r="FB24" s="229"/>
      <c r="FC24" s="229"/>
      <c r="FD24" s="229"/>
      <c r="FE24" s="229"/>
      <c r="FF24" s="229"/>
      <c r="FG24" s="229"/>
      <c r="FH24" s="229"/>
      <c r="FI24" s="229"/>
      <c r="FJ24" s="229"/>
      <c r="FK24" s="229"/>
      <c r="FL24" s="229"/>
      <c r="FM24" s="229"/>
      <c r="FN24" s="229"/>
      <c r="FO24" s="229"/>
      <c r="FP24" s="229"/>
      <c r="FQ24" s="229"/>
      <c r="FR24" s="229"/>
      <c r="FS24" s="229"/>
      <c r="FT24" s="229"/>
      <c r="FU24" s="229"/>
      <c r="FV24" s="229"/>
      <c r="FW24" s="229"/>
      <c r="FX24" s="229"/>
      <c r="FY24" s="229"/>
      <c r="FZ24" s="229"/>
      <c r="GA24" s="229"/>
      <c r="GB24" s="229"/>
      <c r="GC24" s="229"/>
      <c r="GD24" s="229"/>
      <c r="GE24" s="229"/>
      <c r="GF24" s="229"/>
      <c r="GG24" s="229"/>
      <c r="GH24" s="229"/>
      <c r="GI24" s="229"/>
      <c r="GJ24" s="229"/>
      <c r="GK24" s="229"/>
      <c r="GL24" s="229"/>
      <c r="GM24" s="229"/>
      <c r="GN24" s="229"/>
      <c r="GO24" s="229"/>
      <c r="GP24" s="229"/>
      <c r="GQ24" s="229"/>
      <c r="GR24" s="229"/>
      <c r="GS24" s="229"/>
      <c r="GT24" s="229"/>
      <c r="GU24" s="229"/>
      <c r="GV24" s="229"/>
      <c r="GW24" s="229"/>
      <c r="GX24" s="229"/>
      <c r="GY24" s="229"/>
      <c r="GZ24" s="229"/>
      <c r="HA24" s="229"/>
      <c r="HB24" s="229"/>
      <c r="HC24" s="229"/>
      <c r="HD24" s="229"/>
      <c r="HE24" s="229"/>
      <c r="HF24" s="229"/>
      <c r="HG24" s="229"/>
      <c r="HH24" s="229"/>
      <c r="HI24" s="229"/>
      <c r="HJ24" s="229"/>
      <c r="HK24" s="229"/>
      <c r="HL24" s="229"/>
      <c r="HM24" s="229"/>
      <c r="HN24" s="229"/>
      <c r="HO24" s="229"/>
      <c r="HP24" s="229"/>
      <c r="HQ24" s="229"/>
      <c r="HR24" s="229"/>
      <c r="HS24" s="229"/>
      <c r="HT24" s="229"/>
      <c r="HU24" s="229"/>
      <c r="HV24" s="229"/>
      <c r="HW24" s="229"/>
      <c r="HX24" s="229"/>
      <c r="HY24" s="229"/>
      <c r="HZ24" s="229"/>
      <c r="IA24" s="229"/>
      <c r="IB24" s="229"/>
      <c r="IC24" s="229"/>
      <c r="ID24" s="229"/>
      <c r="IE24" s="229"/>
      <c r="IF24" s="229"/>
      <c r="IG24" s="229"/>
      <c r="IH24" s="229"/>
      <c r="II24" s="229"/>
      <c r="IJ24" s="229"/>
      <c r="IK24" s="229"/>
      <c r="IL24" s="229"/>
      <c r="IM24" s="229"/>
      <c r="IN24" s="229"/>
      <c r="IO24" s="229"/>
      <c r="IP24" s="229"/>
      <c r="IQ24" s="229"/>
      <c r="IR24" s="229"/>
      <c r="IS24" s="229"/>
      <c r="IT24" s="229"/>
      <c r="IU24" s="229"/>
      <c r="IV24" s="229"/>
    </row>
    <row r="25" spans="2:17" ht="15.75">
      <c r="B25" s="281" t="s">
        <v>64</v>
      </c>
      <c r="C25" s="282"/>
      <c r="D25" s="282"/>
      <c r="E25" s="283">
        <f aca="true" t="shared" si="0" ref="E25:E30">IF($E$3="FY18",E7,IF($E$3="FY19",G7,IF($E$3="FY20",I7,IF($E$3="FY21",K7,IF($E$3="FY22",M7,IF($E$3="FY23",O7,IF($E$3="FY24",Q7,0)))))))</f>
        <v>0.308</v>
      </c>
      <c r="F25" s="283"/>
      <c r="G25" s="283">
        <f aca="true" t="shared" si="1" ref="G25:G30">IF($E$3="FY18",G7,IF($E$3="FY19",I7,IF($E$3="FY20",K7,IF($E$3="FY21",M7,IF($E$3="FY22",O7,IF($E$3="FY23",Q7,IF($E$3="FY24",Q7+0.01,0)))))))</f>
        <v>0.313</v>
      </c>
      <c r="H25" s="283"/>
      <c r="I25" s="283">
        <f aca="true" t="shared" si="2" ref="I25:I30">IF($E$3="FY18",I7,IF($E$3="FY19",K7,IF($E$3="FY20",M7,IF($E$3="FY21",O7,IF($E$3="FY22",Q7,IF($E$3="FY23",Q7+0.01,IF($E$3="FY24",Q7+0.015,0)))))))</f>
        <v>0.323</v>
      </c>
      <c r="J25" s="283"/>
      <c r="K25" s="283">
        <f aca="true" t="shared" si="3" ref="K25:K30">IF($E$3="FY18",K7,IF($E$3="FY19",M7,IF($E$3="FY20",O7,IF($E$3="FY21",Q7,IF($E$3="FY22",Q7+0.005,IF($E$3="FY23",Q7+0.01,IF($E$3="FY24",Q7+0.015,0)))))))</f>
        <v>0.328</v>
      </c>
      <c r="L25" s="283"/>
      <c r="M25" s="283">
        <f aca="true" t="shared" si="4" ref="M25:M30">IF($E$3="FY18",M7,IF($E$3="FY19",O7,IF($E$3="FY20",Q7,IF($E$3="FY21",Q7+0.005,IF($E$3="FY22",Q7+0.01,IF($E$3="FY23",Q7+0.015,IF($E$3="FY24",Q7+0.02,0)))))))</f>
        <v>0.333</v>
      </c>
      <c r="N25" s="283"/>
      <c r="O25" s="283">
        <f aca="true" t="shared" si="5" ref="O25:O30">IF($E$3="FY18",O7,IF($E$3="FY19",Q7,IF($E$3="FY20",Q7+0.005,IF($E$3="FY21",Q7+0.01,IF($E$3="FY22",Q7+0.015,IF($E$3="FY23",Q7+0.02,IF($E$3="FY24",Q7+0.025,0)))))))</f>
        <v>0.338</v>
      </c>
      <c r="P25" s="283"/>
      <c r="Q25" s="283">
        <f aca="true" t="shared" si="6" ref="Q25:Q30">IF($E$3="FY18",Q7,IF($E$3="FY19",Q7+0.005,IF($E$3="FY20",Q7+0.01,IF($E$3="FY21",Q7+0.015,IF($E$3="FY22",Q7+0.02,IF($E$3="FY23",Q7+0.025,IF($E$3="FY24",Q7+0.03,0)))))))</f>
        <v>0.343</v>
      </c>
    </row>
    <row r="26" spans="2:17" ht="15.75">
      <c r="B26" s="281" t="s">
        <v>86</v>
      </c>
      <c r="C26" s="282"/>
      <c r="D26" s="282"/>
      <c r="E26" s="283">
        <f t="shared" si="0"/>
        <v>0.385</v>
      </c>
      <c r="F26" s="282"/>
      <c r="G26" s="283">
        <f t="shared" si="1"/>
        <v>0.39</v>
      </c>
      <c r="H26" s="283"/>
      <c r="I26" s="283">
        <f t="shared" si="2"/>
        <v>0.4</v>
      </c>
      <c r="J26" s="282"/>
      <c r="K26" s="283">
        <f t="shared" si="3"/>
        <v>0.405</v>
      </c>
      <c r="L26" s="282"/>
      <c r="M26" s="283">
        <f t="shared" si="4"/>
        <v>0.41000000000000003</v>
      </c>
      <c r="N26" s="282"/>
      <c r="O26" s="283">
        <f t="shared" si="5"/>
        <v>0.41500000000000004</v>
      </c>
      <c r="P26" s="282"/>
      <c r="Q26" s="283">
        <f t="shared" si="6"/>
        <v>0.42000000000000004</v>
      </c>
    </row>
    <row r="27" spans="2:17" ht="15.75">
      <c r="B27" s="277" t="s">
        <v>270</v>
      </c>
      <c r="C27" s="282"/>
      <c r="D27" s="282"/>
      <c r="E27" s="283">
        <f t="shared" si="0"/>
        <v>0.368</v>
      </c>
      <c r="F27" s="282"/>
      <c r="G27" s="283">
        <f t="shared" si="1"/>
        <v>0.373</v>
      </c>
      <c r="H27" s="283"/>
      <c r="I27" s="283">
        <f t="shared" si="2"/>
        <v>0.383</v>
      </c>
      <c r="J27" s="282"/>
      <c r="K27" s="283">
        <f t="shared" si="3"/>
        <v>0.388</v>
      </c>
      <c r="L27" s="282"/>
      <c r="M27" s="283">
        <f t="shared" si="4"/>
        <v>0.393</v>
      </c>
      <c r="N27" s="282"/>
      <c r="O27" s="283">
        <f t="shared" si="5"/>
        <v>0.398</v>
      </c>
      <c r="P27" s="282"/>
      <c r="Q27" s="283">
        <f t="shared" si="6"/>
        <v>0.403</v>
      </c>
    </row>
    <row r="28" spans="2:17" ht="15.75">
      <c r="B28" s="281" t="s">
        <v>65</v>
      </c>
      <c r="C28" s="282"/>
      <c r="D28" s="282"/>
      <c r="E28" s="283">
        <f t="shared" si="0"/>
        <v>0.467</v>
      </c>
      <c r="F28" s="282"/>
      <c r="G28" s="283">
        <f t="shared" si="1"/>
        <v>0.47200000000000003</v>
      </c>
      <c r="H28" s="283"/>
      <c r="I28" s="283">
        <f t="shared" si="2"/>
        <v>0.48200000000000004</v>
      </c>
      <c r="J28" s="282"/>
      <c r="K28" s="283">
        <f t="shared" si="3"/>
        <v>0.48700000000000004</v>
      </c>
      <c r="L28" s="282"/>
      <c r="M28" s="283">
        <f t="shared" si="4"/>
        <v>0.49200000000000005</v>
      </c>
      <c r="N28" s="282"/>
      <c r="O28" s="283">
        <f t="shared" si="5"/>
        <v>0.49700000000000005</v>
      </c>
      <c r="P28" s="282"/>
      <c r="Q28" s="283">
        <f t="shared" si="6"/>
        <v>0.502</v>
      </c>
    </row>
    <row r="29" spans="2:17" ht="15.75">
      <c r="B29" s="281" t="s">
        <v>66</v>
      </c>
      <c r="C29" s="282"/>
      <c r="D29" s="282"/>
      <c r="E29" s="283">
        <f t="shared" si="0"/>
        <v>0.079</v>
      </c>
      <c r="F29" s="282"/>
      <c r="G29" s="283">
        <f t="shared" si="1"/>
        <v>0.079</v>
      </c>
      <c r="H29" s="283"/>
      <c r="I29" s="283">
        <f t="shared" si="2"/>
        <v>0.079</v>
      </c>
      <c r="J29" s="282"/>
      <c r="K29" s="283">
        <f t="shared" si="3"/>
        <v>0.079</v>
      </c>
      <c r="L29" s="282"/>
      <c r="M29" s="283">
        <f t="shared" si="4"/>
        <v>0.084</v>
      </c>
      <c r="N29" s="282"/>
      <c r="O29" s="283">
        <f t="shared" si="5"/>
        <v>0.089</v>
      </c>
      <c r="P29" s="282"/>
      <c r="Q29" s="283">
        <f t="shared" si="6"/>
        <v>0.094</v>
      </c>
    </row>
    <row r="30" spans="2:17" ht="15.75">
      <c r="B30" s="281" t="s">
        <v>87</v>
      </c>
      <c r="C30" s="282"/>
      <c r="D30" s="282"/>
      <c r="E30" s="283">
        <f t="shared" si="0"/>
        <v>0.28400000000000003</v>
      </c>
      <c r="F30" s="282"/>
      <c r="G30" s="283">
        <f t="shared" si="1"/>
        <v>0.28900000000000003</v>
      </c>
      <c r="H30" s="283"/>
      <c r="I30" s="283">
        <f t="shared" si="2"/>
        <v>0.29900000000000004</v>
      </c>
      <c r="J30" s="282"/>
      <c r="K30" s="283">
        <f t="shared" si="3"/>
        <v>0.30400000000000005</v>
      </c>
      <c r="L30" s="282"/>
      <c r="M30" s="283">
        <f t="shared" si="4"/>
        <v>0.30900000000000005</v>
      </c>
      <c r="N30" s="282"/>
      <c r="O30" s="283">
        <f t="shared" si="5"/>
        <v>0.31400000000000006</v>
      </c>
      <c r="P30" s="282"/>
      <c r="Q30" s="283">
        <f t="shared" si="6"/>
        <v>0.31900000000000006</v>
      </c>
    </row>
    <row r="31" spans="2:17" ht="15.75">
      <c r="B31" s="284" t="s">
        <v>228</v>
      </c>
      <c r="C31" s="282"/>
      <c r="D31" s="282"/>
      <c r="E31" s="283">
        <f>IF($E$3="FY18",E15,IF($E$3="FY19",G15,IF($E$3="FY20",I15,IF($E$3="FY21",K15,IF($E$3="FY22",M15,IF($E$3="FY23",O15,IF($E$3="FY24",Q15,0)))))))</f>
        <v>0.605</v>
      </c>
      <c r="F31" s="282"/>
      <c r="G31" s="283">
        <f>IF($E$3="FY18",G15,IF($E$3="FY19",I15,IF($E$3="FY20",K15,IF($E$3="FY21",M15,IF($E$3="FY22",O15,IF($E$3="FY23",Q15,IF($E$3="FY24",Q15,0)))))))</f>
        <v>0.605</v>
      </c>
      <c r="H31" s="283"/>
      <c r="I31" s="283">
        <f>IF($E$3="FY18",I15,IF($E$3="FY19",K15,IF($E$3="FY20",M15,IF($E$3="FY21",O15,IF($E$3="FY22",Q15,IF($E$3="FY23",Q15,IF($E$3="FY24",Q15,0)))))))</f>
        <v>0.605</v>
      </c>
      <c r="J31" s="282"/>
      <c r="K31" s="283">
        <f>IF($E$3="FY18",K15,IF($E$3="FY19",M15,IF($E$3="FY20",O15,IF($E$3="FY21",Q15,IF($E$3="FY22",Q15,IF($E$3="FY23",Q15,IF($E$3="FY24",Q15,0)))))))</f>
        <v>0.605</v>
      </c>
      <c r="L31" s="282"/>
      <c r="M31" s="283">
        <f>IF($E$3="FY18",M15,IF($E$3="FY19",O15,IF($E$3="FY20",Q15,IF($E$3="FY21",Q15,IF($E$3="FY22",Q15,IF($E$3="FY23",Q15,IF($E$3="FY24",Q15,0)))))))</f>
        <v>0.605</v>
      </c>
      <c r="N31" s="282"/>
      <c r="O31" s="283">
        <f>IF($E$3="FY18",O15,IF($E$3="FY19",Q15,IF($E$3="FY20",Q15,IF($E$3="FY21",Q15,IF($E$3="FY22",Q15,IF($E$3="FY23",Q15,IF($E$3="FY24",Q15,0)))))))</f>
        <v>0.605</v>
      </c>
      <c r="P31" s="282"/>
      <c r="Q31" s="283">
        <f>IF($E$3="FY18",Q15,IF($E$3="FY19",Q15,IF($E$3="FY20",Q15,IF($E$3="FY21",Q15,IF($E$3="FY22",Q15,IF($E$3="FY23",Q15,IF($E$3="FY24",Q15,0)))))))</f>
        <v>0.605</v>
      </c>
    </row>
    <row r="32" spans="2:17" ht="15.75">
      <c r="B32" s="284" t="s">
        <v>229</v>
      </c>
      <c r="C32" s="282"/>
      <c r="D32" s="282"/>
      <c r="E32" s="283">
        <f>IF($E$3="FY18",E16,IF($E$3="FY19",G16,IF($E$3="FY20",I16,IF($E$3="FY21",K16,IF($E$3="FY22",M16,IF($E$3="FY23",O16,IF($E$3="FY24",Q16,0)))))))</f>
        <v>0.57</v>
      </c>
      <c r="F32" s="282"/>
      <c r="G32" s="283">
        <f>IF($E$3="FY18",G16,IF($E$3="FY19",I16,IF($E$3="FY20",K16,IF($E$3="FY21",M16,IF($E$3="FY22",O16,IF($E$3="FY23",Q16,IF($E$3="FY24",Q16,0)))))))</f>
        <v>0.57</v>
      </c>
      <c r="H32" s="283"/>
      <c r="I32" s="283">
        <f>IF($E$3="FY18",I16,IF($E$3="FY19",K16,IF($E$3="FY20",M16,IF($E$3="FY21",O16,IF($E$3="FY22",Q16,IF($E$3="FY23",Q16,IF($E$3="FY24",Q16,0)))))))</f>
        <v>0.57</v>
      </c>
      <c r="J32" s="282"/>
      <c r="K32" s="283">
        <f>IF($E$3="FY18",K16,IF($E$3="FY19",M16,IF($E$3="FY20",O16,IF($E$3="FY21",Q16,IF($E$3="FY22",Q16,IF($E$3="FY23",Q16,IF($E$3="FY24",Q16,0)))))))</f>
        <v>0.57</v>
      </c>
      <c r="L32" s="282"/>
      <c r="M32" s="283">
        <f>IF($E$3="FY18",M16,IF($E$3="FY19",O16,IF($E$3="FY20",Q16,IF($E$3="FY21",Q16,IF($E$3="FY22",Q16,IF($E$3="FY23",Q16,IF($E$3="FY24",Q16,0)))))))</f>
        <v>0.57</v>
      </c>
      <c r="N32" s="282"/>
      <c r="O32" s="283">
        <f>IF($E$3="FY18",O16,IF($E$3="FY19",Q16,IF($E$3="FY20",Q15,IF($E$3="FY21",Q16,IF($E$3="FY22",Q16,IF($E$3="FY23",Q16,IF($E$3="FY24",Q16,0)))))))</f>
        <v>0.57</v>
      </c>
      <c r="P32" s="282"/>
      <c r="Q32" s="283">
        <f>IF($E$3="FY18",Q16,IF($E$3="FY19",Q16,IF($E$3="FY20",Q15,IF($E$3="FY21",Q16,IF($E$3="FY22",Q16,IF($E$3="FY23",Q16,IF($E$3="FY24",Q16,0)))))))</f>
        <v>0.57</v>
      </c>
    </row>
    <row r="33" spans="2:17" ht="15.75">
      <c r="B33" s="284" t="s">
        <v>230</v>
      </c>
      <c r="C33" s="282"/>
      <c r="D33" s="282"/>
      <c r="E33" s="283">
        <f>IF($E$3="FY18",E17,IF($E$3="FY19",G17,IF($E$3="FY20",I17,IF($E$3="FY21",K17,IF($E$3="FY22",M17,IF($E$3="FY23",O17,IF($E$3="FY24",Q17,0)))))))</f>
        <v>0.3</v>
      </c>
      <c r="F33" s="282"/>
      <c r="G33" s="283">
        <f>IF($E$3="FY18",G17,IF($E$3="FY19",I17,IF($E$3="FY20",K17,IF($E$3="FY21",M17,IF($E$3="FY22",O17,IF($E$3="FY23",Q17,IF($E$3="FY24",Q17,0)))))))</f>
        <v>0.3</v>
      </c>
      <c r="H33" s="283"/>
      <c r="I33" s="283">
        <f>IF($E$3="FY18",I17,IF($E$3="FY19",K17,IF($E$3="FY20",M17,IF($E$3="FY21",O17,IF($E$3="FY22",Q17,IF($E$3="FY23",Q17,IF($E$3="FY24",Q17,0)))))))</f>
        <v>0.3</v>
      </c>
      <c r="J33" s="282"/>
      <c r="K33" s="283">
        <f>IF($E$3="FY18",K17,IF($E$3="FY19",M17,IF($E$3="FY20",O17,IF($E$3="FY21",Q17,IF($E$3="FY22",Q17,IF($E$3="FY23",Q17,IF($E$3="FY24",Q17,0)))))))</f>
        <v>0.3</v>
      </c>
      <c r="L33" s="282"/>
      <c r="M33" s="283">
        <f>IF($E$3="FY18",M17,IF($E$3="FY19",O17,IF($E$3="FY20",Q17,IF($E$3="FY21",Q17,IF($E$3="FY22",Q17,IF($E$3="FY23",Q17,IF($E$3="FY24",Q17,0)))))))</f>
        <v>0.3</v>
      </c>
      <c r="N33" s="282"/>
      <c r="O33" s="283">
        <f>IF($E$3="FY18",O17,IF($E$3="FY19",Q17,IF($E$3="FY20",Q15,IF($E$3="FY21",Q17,IF($E$3="FY22",Q17,IF($E$3="FY23",Q17,IF($E$3="FY24",Q17,0)))))))</f>
        <v>0.3</v>
      </c>
      <c r="P33" s="282"/>
      <c r="Q33" s="283">
        <f>IF($E$3="FY18",Q17,IF($E$3="FY19",Q17,IF($E$3="FY20",Q15,IF($E$3="FY21",Q17,IF($E$3="FY22",Q17,IF($E$3="FY23",Q17,IF($E$3="FY24",Q17,0)))))))</f>
        <v>0.3</v>
      </c>
    </row>
    <row r="34" spans="2:17" ht="15.75">
      <c r="B34" s="82" t="s">
        <v>1</v>
      </c>
      <c r="Q34" s="273"/>
    </row>
    <row r="35" spans="2:5" ht="15.75">
      <c r="B35" s="214" t="s">
        <v>67</v>
      </c>
      <c r="E35" s="151"/>
    </row>
    <row r="36" spans="3:13" ht="15.75">
      <c r="C36" s="82" t="s">
        <v>1</v>
      </c>
      <c r="D36" s="82" t="s">
        <v>1</v>
      </c>
      <c r="J36" s="229"/>
      <c r="K36" s="229"/>
      <c r="M36" s="229"/>
    </row>
    <row r="37" spans="2:17" ht="15.75">
      <c r="B37" s="214" t="s">
        <v>63</v>
      </c>
      <c r="C37" s="231" t="s">
        <v>68</v>
      </c>
      <c r="D37" s="231"/>
      <c r="E37" s="230" t="s">
        <v>7</v>
      </c>
      <c r="F37" s="232"/>
      <c r="G37" s="230" t="s">
        <v>53</v>
      </c>
      <c r="H37" s="232"/>
      <c r="I37" s="230" t="s">
        <v>55</v>
      </c>
      <c r="K37" s="230" t="s">
        <v>57</v>
      </c>
      <c r="M37" s="230" t="s">
        <v>59</v>
      </c>
      <c r="O37" s="230" t="s">
        <v>69</v>
      </c>
      <c r="Q37" s="230" t="s">
        <v>70</v>
      </c>
    </row>
    <row r="38" spans="2:17" ht="15.75">
      <c r="B38" s="82" t="s">
        <v>22</v>
      </c>
      <c r="C38" s="84">
        <f>IF(MONTH($E$2)&lt;MONTH(E4),ABS((MONTH($E$2)-MONTH(E4))),12-(MONTH($E$2)-MONTH(E4)))</f>
        <v>12</v>
      </c>
      <c r="D38" s="84">
        <f aca="true" t="shared" si="7" ref="D38:D43">12-C38</f>
        <v>0</v>
      </c>
      <c r="E38" s="83">
        <f aca="true" t="shared" si="8" ref="E38:E43">((E25*C38)+(G25*D38))/12</f>
        <v>0.308</v>
      </c>
      <c r="F38" s="83"/>
      <c r="G38" s="83">
        <f aca="true" t="shared" si="9" ref="G38:G43">((G25*C38)+(I25*D38))/12</f>
        <v>0.313</v>
      </c>
      <c r="H38" s="83"/>
      <c r="I38" s="83">
        <f aca="true" t="shared" si="10" ref="I38:I43">((I25*C38)+(K25*D38))/12</f>
        <v>0.323</v>
      </c>
      <c r="J38" s="83"/>
      <c r="K38" s="83">
        <f aca="true" t="shared" si="11" ref="K38:K43">((K25*C38)+(M25*D38))/12</f>
        <v>0.328</v>
      </c>
      <c r="M38" s="83">
        <f aca="true" t="shared" si="12" ref="M38:M43">((M25*C38)+(O25*D38))/12</f>
        <v>0.333</v>
      </c>
      <c r="O38" s="83">
        <f aca="true" t="shared" si="13" ref="O38:O43">((O25*C38)+(Q25*D38))/12</f>
        <v>0.338</v>
      </c>
      <c r="Q38" s="83">
        <f aca="true" t="shared" si="14" ref="Q38:Q43">O38+0.005</f>
        <v>0.343</v>
      </c>
    </row>
    <row r="39" spans="2:17" ht="15.75">
      <c r="B39" s="82" t="s">
        <v>88</v>
      </c>
      <c r="C39" s="84">
        <f>$C$38</f>
        <v>12</v>
      </c>
      <c r="D39" s="84">
        <f t="shared" si="7"/>
        <v>0</v>
      </c>
      <c r="E39" s="83">
        <f t="shared" si="8"/>
        <v>0.385</v>
      </c>
      <c r="F39" s="83"/>
      <c r="G39" s="83">
        <f t="shared" si="9"/>
        <v>0.38999999999999996</v>
      </c>
      <c r="H39" s="83"/>
      <c r="I39" s="83">
        <f t="shared" si="10"/>
        <v>0.4000000000000001</v>
      </c>
      <c r="J39" s="83"/>
      <c r="K39" s="83">
        <f t="shared" si="11"/>
        <v>0.405</v>
      </c>
      <c r="M39" s="83">
        <f t="shared" si="12"/>
        <v>0.41</v>
      </c>
      <c r="O39" s="83">
        <f t="shared" si="13"/>
        <v>0.41500000000000004</v>
      </c>
      <c r="Q39" s="83">
        <f t="shared" si="14"/>
        <v>0.42000000000000004</v>
      </c>
    </row>
    <row r="40" spans="2:17" ht="15.75">
      <c r="B40" s="82" t="s">
        <v>270</v>
      </c>
      <c r="C40" s="84">
        <f>$C$38</f>
        <v>12</v>
      </c>
      <c r="D40" s="84">
        <f t="shared" si="7"/>
        <v>0</v>
      </c>
      <c r="E40" s="83">
        <f t="shared" si="8"/>
        <v>0.36800000000000005</v>
      </c>
      <c r="F40" s="83"/>
      <c r="G40" s="83">
        <f t="shared" si="9"/>
        <v>0.373</v>
      </c>
      <c r="H40" s="83"/>
      <c r="I40" s="83">
        <f t="shared" si="10"/>
        <v>0.383</v>
      </c>
      <c r="J40" s="83"/>
      <c r="K40" s="83">
        <f t="shared" si="11"/>
        <v>0.38800000000000007</v>
      </c>
      <c r="M40" s="83">
        <f t="shared" si="12"/>
        <v>0.393</v>
      </c>
      <c r="O40" s="83">
        <f t="shared" si="13"/>
        <v>0.39799999999999996</v>
      </c>
      <c r="Q40" s="83">
        <f t="shared" si="14"/>
        <v>0.40299999999999997</v>
      </c>
    </row>
    <row r="41" spans="2:17" ht="15.75">
      <c r="B41" s="82" t="s">
        <v>65</v>
      </c>
      <c r="C41" s="84">
        <f>$C$38</f>
        <v>12</v>
      </c>
      <c r="D41" s="84">
        <f t="shared" si="7"/>
        <v>0</v>
      </c>
      <c r="E41" s="83">
        <f t="shared" si="8"/>
        <v>0.467</v>
      </c>
      <c r="F41" s="83"/>
      <c r="G41" s="83">
        <f t="shared" si="9"/>
        <v>0.47200000000000003</v>
      </c>
      <c r="H41" s="83"/>
      <c r="I41" s="83">
        <f t="shared" si="10"/>
        <v>0.48200000000000004</v>
      </c>
      <c r="J41" s="83"/>
      <c r="K41" s="83">
        <f t="shared" si="11"/>
        <v>0.48700000000000004</v>
      </c>
      <c r="M41" s="83">
        <f t="shared" si="12"/>
        <v>0.49200000000000005</v>
      </c>
      <c r="O41" s="83">
        <f t="shared" si="13"/>
        <v>0.49700000000000005</v>
      </c>
      <c r="Q41" s="83">
        <f t="shared" si="14"/>
        <v>0.502</v>
      </c>
    </row>
    <row r="42" spans="2:17" ht="15.75">
      <c r="B42" s="82" t="s">
        <v>66</v>
      </c>
      <c r="C42" s="84">
        <f>$C$38</f>
        <v>12</v>
      </c>
      <c r="D42" s="84">
        <f t="shared" si="7"/>
        <v>0</v>
      </c>
      <c r="E42" s="83">
        <f t="shared" si="8"/>
        <v>0.079</v>
      </c>
      <c r="F42" s="83"/>
      <c r="G42" s="83">
        <f t="shared" si="9"/>
        <v>0.079</v>
      </c>
      <c r="H42" s="83"/>
      <c r="I42" s="83">
        <f t="shared" si="10"/>
        <v>0.079</v>
      </c>
      <c r="J42" s="83"/>
      <c r="K42" s="83">
        <f t="shared" si="11"/>
        <v>0.079</v>
      </c>
      <c r="M42" s="83">
        <f t="shared" si="12"/>
        <v>0.084</v>
      </c>
      <c r="O42" s="83">
        <f t="shared" si="13"/>
        <v>0.08900000000000001</v>
      </c>
      <c r="Q42" s="83">
        <f t="shared" si="14"/>
        <v>0.09400000000000001</v>
      </c>
    </row>
    <row r="43" spans="2:17" ht="15.75">
      <c r="B43" s="82" t="s">
        <v>91</v>
      </c>
      <c r="C43" s="84">
        <f>$C$38</f>
        <v>12</v>
      </c>
      <c r="D43" s="84">
        <f t="shared" si="7"/>
        <v>0</v>
      </c>
      <c r="E43" s="83">
        <f t="shared" si="8"/>
        <v>0.28400000000000003</v>
      </c>
      <c r="F43" s="83"/>
      <c r="G43" s="83">
        <f t="shared" si="9"/>
        <v>0.28900000000000003</v>
      </c>
      <c r="H43" s="83"/>
      <c r="I43" s="83">
        <f t="shared" si="10"/>
        <v>0.29900000000000004</v>
      </c>
      <c r="J43" s="83"/>
      <c r="K43" s="83">
        <f t="shared" si="11"/>
        <v>0.30400000000000005</v>
      </c>
      <c r="M43" s="83">
        <f t="shared" si="12"/>
        <v>0.30900000000000005</v>
      </c>
      <c r="O43" s="83">
        <f t="shared" si="13"/>
        <v>0.31400000000000006</v>
      </c>
      <c r="Q43" s="83">
        <f t="shared" si="14"/>
        <v>0.31900000000000006</v>
      </c>
    </row>
    <row r="44" spans="10:17" ht="15.75">
      <c r="J44" s="83"/>
      <c r="Q44" s="85" t="s">
        <v>1</v>
      </c>
    </row>
    <row r="45" spans="2:22" ht="15.75">
      <c r="B45" s="214" t="s">
        <v>223</v>
      </c>
      <c r="C45" s="211"/>
      <c r="D45" s="211"/>
      <c r="E45" s="211"/>
      <c r="F45" s="211"/>
      <c r="G45" s="211"/>
      <c r="H45" s="211"/>
      <c r="I45" s="211"/>
      <c r="J45" s="211"/>
      <c r="K45" s="211"/>
      <c r="L45" s="211"/>
      <c r="M45" s="211"/>
      <c r="N45" s="211"/>
      <c r="O45" s="211"/>
      <c r="P45" s="211"/>
      <c r="Q45" s="215" t="s">
        <v>1</v>
      </c>
      <c r="R45" s="211"/>
      <c r="S45" s="211"/>
      <c r="T45" s="211"/>
      <c r="U45" s="211"/>
      <c r="V45" s="211"/>
    </row>
    <row r="46" spans="2:22" ht="15.75">
      <c r="B46" s="216" t="s">
        <v>224</v>
      </c>
      <c r="C46" s="217">
        <f>$C$38</f>
        <v>12</v>
      </c>
      <c r="D46" s="217">
        <f>12-C46</f>
        <v>0</v>
      </c>
      <c r="E46" s="218">
        <f>((E31*C46)+(G31*D46))/12</f>
        <v>0.605</v>
      </c>
      <c r="F46" s="218"/>
      <c r="G46" s="218">
        <f>((G31*C46)+(I31*D46))/12</f>
        <v>0.605</v>
      </c>
      <c r="H46" s="218"/>
      <c r="I46" s="218">
        <f>((I31*C46)+(K31*D46))/12</f>
        <v>0.605</v>
      </c>
      <c r="J46" s="211"/>
      <c r="K46" s="218">
        <f>((K31*C46)+(M31*D46))/12</f>
        <v>0.605</v>
      </c>
      <c r="L46" s="211"/>
      <c r="M46" s="218">
        <f>((M31*C46)+(O31*D46))/12</f>
        <v>0.605</v>
      </c>
      <c r="N46" s="211"/>
      <c r="O46" s="218">
        <f>((O31*C46)+(Q31*D46))/12</f>
        <v>0.605</v>
      </c>
      <c r="P46" s="211"/>
      <c r="Q46" s="218">
        <f>+O46</f>
        <v>0.605</v>
      </c>
      <c r="R46" s="211"/>
      <c r="S46" s="211"/>
      <c r="T46" s="211"/>
      <c r="U46" s="211"/>
      <c r="V46" s="211"/>
    </row>
    <row r="47" spans="2:22" ht="15.75">
      <c r="B47" s="216" t="s">
        <v>225</v>
      </c>
      <c r="C47" s="217">
        <f>$C$38</f>
        <v>12</v>
      </c>
      <c r="D47" s="217">
        <f>12-C47</f>
        <v>0</v>
      </c>
      <c r="E47" s="218">
        <f>((E32*C47)+(G32*D47))/12</f>
        <v>0.57</v>
      </c>
      <c r="F47" s="218"/>
      <c r="G47" s="218">
        <f>((G32*C47)+(I32*D47))/12</f>
        <v>0.57</v>
      </c>
      <c r="H47" s="218"/>
      <c r="I47" s="218">
        <f>((I32*C47)+(K32*D47))/12</f>
        <v>0.57</v>
      </c>
      <c r="J47" s="211"/>
      <c r="K47" s="218">
        <f>((K32*C47)+(M32*D47))/12</f>
        <v>0.57</v>
      </c>
      <c r="L47" s="211"/>
      <c r="M47" s="218">
        <f>((M32*C47)+(O32*D47))/12</f>
        <v>0.57</v>
      </c>
      <c r="N47" s="211"/>
      <c r="O47" s="218">
        <f>((O32*C47)+(Q32*D47))/12</f>
        <v>0.57</v>
      </c>
      <c r="P47" s="211"/>
      <c r="Q47" s="218">
        <f>+O47</f>
        <v>0.57</v>
      </c>
      <c r="R47" s="211"/>
      <c r="S47" s="211"/>
      <c r="T47" s="211"/>
      <c r="U47" s="211"/>
      <c r="V47" s="211"/>
    </row>
    <row r="48" spans="2:22" ht="15.75">
      <c r="B48" s="216" t="s">
        <v>226</v>
      </c>
      <c r="C48" s="217">
        <f>$C$38</f>
        <v>12</v>
      </c>
      <c r="D48" s="217">
        <f>12-C48</f>
        <v>0</v>
      </c>
      <c r="E48" s="218">
        <f>((E33*C48)+(G33*D48))/12</f>
        <v>0.3</v>
      </c>
      <c r="F48" s="218"/>
      <c r="G48" s="218">
        <f>((G33*C48)+(I33*D48))/12</f>
        <v>0.3</v>
      </c>
      <c r="H48" s="218"/>
      <c r="I48" s="218">
        <f>((I33*C48)+(K33*D48))/12</f>
        <v>0.3</v>
      </c>
      <c r="J48" s="211"/>
      <c r="K48" s="218">
        <f>((K33*C48)+(M33*D48))/12</f>
        <v>0.3</v>
      </c>
      <c r="L48" s="211"/>
      <c r="M48" s="218">
        <f>((M33*C48)+(O33*D48))/12</f>
        <v>0.3</v>
      </c>
      <c r="N48" s="211"/>
      <c r="O48" s="218">
        <f>((O33*C48)+(Q33*D48))/12</f>
        <v>0.3</v>
      </c>
      <c r="P48" s="211"/>
      <c r="Q48" s="218">
        <f>+O48</f>
        <v>0.3</v>
      </c>
      <c r="R48" s="211"/>
      <c r="S48" s="211"/>
      <c r="T48" s="211"/>
      <c r="U48" s="211"/>
      <c r="V48" s="211"/>
    </row>
    <row r="49" spans="11:17" ht="15.75">
      <c r="K49" s="85" t="s">
        <v>1</v>
      </c>
      <c r="M49" s="85" t="s">
        <v>1</v>
      </c>
      <c r="O49" s="85" t="s">
        <v>1</v>
      </c>
      <c r="Q49" s="85" t="s">
        <v>1</v>
      </c>
    </row>
    <row r="50" spans="2:17" ht="15.75">
      <c r="B50" s="214" t="s">
        <v>227</v>
      </c>
      <c r="K50" s="85" t="s">
        <v>1</v>
      </c>
      <c r="M50" s="85" t="s">
        <v>1</v>
      </c>
      <c r="O50" s="85" t="s">
        <v>1</v>
      </c>
      <c r="Q50" s="85" t="s">
        <v>1</v>
      </c>
    </row>
    <row r="51" spans="2:17" ht="15.75">
      <c r="B51" s="82" t="s">
        <v>224</v>
      </c>
      <c r="C51" s="84">
        <f>$C$38</f>
        <v>12</v>
      </c>
      <c r="D51" s="84">
        <f>12-C51</f>
        <v>0</v>
      </c>
      <c r="E51" s="83">
        <f>IF($E$3="FY12",E20,IF($E$3="FY13",G20,IF($E$3="FY14",I20,IF($E$3="FY15",K20,IF($E$3="FY16",M20,IF($E$3="FY17",O20,IF($E$3="FY18",Q20,0)))))))</f>
        <v>0</v>
      </c>
      <c r="F51" s="83"/>
      <c r="G51" s="83">
        <f>((G20*C51)+(I20*D51))/12</f>
        <v>0.26</v>
      </c>
      <c r="H51" s="83"/>
      <c r="I51" s="83">
        <f>((I20*C51)+(K20*D51))/12</f>
        <v>0.26</v>
      </c>
      <c r="K51" s="83">
        <f>((K20*C51)+(M20*D51))/12</f>
        <v>0.26</v>
      </c>
      <c r="M51" s="83">
        <f>((M20*C51)+(O20*D51))/12</f>
        <v>0.26</v>
      </c>
      <c r="O51" s="83">
        <f>((O20*C51)+(Q20*D51))/12</f>
        <v>0.26</v>
      </c>
      <c r="Q51" s="83">
        <f>Q20</f>
        <v>0.26</v>
      </c>
    </row>
    <row r="52" spans="2:17" ht="15.75">
      <c r="B52" s="82" t="s">
        <v>225</v>
      </c>
      <c r="C52" s="84">
        <f>$C$38</f>
        <v>12</v>
      </c>
      <c r="D52" s="84">
        <f>12-C52</f>
        <v>0</v>
      </c>
      <c r="E52" s="83">
        <f>IF($E$3="FY12",E21,IF($E$3="FY13",G21,IF($E$3="FY14",I21,IF($E$3="FY15",K21,IF($E$3="FY16",M21,IF($E$3="FY17",O21,IF($E$3="FY18",Q21,0)))))))</f>
        <v>0</v>
      </c>
      <c r="F52" s="83"/>
      <c r="G52" s="83">
        <f>((G21*C52)+(I21*D52))/12</f>
        <v>0.26</v>
      </c>
      <c r="H52" s="83"/>
      <c r="I52" s="83">
        <f>((I21*C52)+(K21*D52))/12</f>
        <v>0.26</v>
      </c>
      <c r="K52" s="83">
        <f>((K21*C52)+(M21*D52))/12</f>
        <v>0.26</v>
      </c>
      <c r="M52" s="83">
        <f>((M21*C52)+(O21*D52))/12</f>
        <v>0.26</v>
      </c>
      <c r="O52" s="83">
        <f>((O21*C52)+(Q21*D52))/12</f>
        <v>0.26</v>
      </c>
      <c r="Q52" s="83">
        <f>Q21</f>
        <v>0.26</v>
      </c>
    </row>
    <row r="53" spans="2:17" ht="15.75">
      <c r="B53" s="82" t="s">
        <v>226</v>
      </c>
      <c r="C53" s="84">
        <f>$C$38</f>
        <v>12</v>
      </c>
      <c r="D53" s="84">
        <f>12-C53</f>
        <v>0</v>
      </c>
      <c r="E53" s="83">
        <f>IF($E$3="FY12",E22,IF($E$3="FY13",G22,IF($E$3="FY14",I22,IF($E$3="FY15",K22,IF($E$3="FY16",M22,IF($E$3="FY17",O22,IF($E$3="FY18",Q22,0)))))))</f>
        <v>0</v>
      </c>
      <c r="F53" s="83"/>
      <c r="G53" s="83">
        <f>((G22*C53)+(I22*D53))/12</f>
        <v>0.26</v>
      </c>
      <c r="H53" s="83"/>
      <c r="I53" s="83">
        <f>((I22*C53)+(K22*D53))/12</f>
        <v>0.26</v>
      </c>
      <c r="K53" s="83">
        <f>((K22*C53)+(M22*D53))/12</f>
        <v>0.26</v>
      </c>
      <c r="M53" s="83">
        <f>((M22*C53)+(O22*D53))/12</f>
        <v>0.26</v>
      </c>
      <c r="O53" s="83">
        <f>((O22*C53)+(Q22*D53))/12</f>
        <v>0.26</v>
      </c>
      <c r="Q53" s="83">
        <f>Q22</f>
        <v>0.26</v>
      </c>
    </row>
    <row r="63" ht="18.75">
      <c r="N63" s="234" t="s">
        <v>281</v>
      </c>
    </row>
  </sheetData>
  <sheetProtection/>
  <dataValidations count="1">
    <dataValidation type="list" allowBlank="1" showInputMessage="1" showErrorMessage="1" sqref="E3">
      <formula1>$U$4:$U$10</formula1>
    </dataValidation>
  </dataValidations>
  <printOptions/>
  <pageMargins left="0.5" right="0.3" top="1" bottom="0.667" header="0.5" footer="0.5"/>
  <pageSetup fitToHeight="1" fitToWidth="1" horizontalDpi="300" verticalDpi="300" orientation="portrait" scale="53" r:id="rId1"/>
</worksheet>
</file>

<file path=xl/worksheets/sheet8.xml><?xml version="1.0" encoding="utf-8"?>
<worksheet xmlns="http://schemas.openxmlformats.org/spreadsheetml/2006/main" xmlns:r="http://schemas.openxmlformats.org/officeDocument/2006/relationships">
  <dimension ref="A1:I36"/>
  <sheetViews>
    <sheetView workbookViewId="0" topLeftCell="A1">
      <pane ySplit="2" topLeftCell="A24" activePane="bottomLeft" state="frozen"/>
      <selection pane="topLeft" activeCell="A1" sqref="A1"/>
      <selection pane="bottomLeft" activeCell="A1" sqref="A1:IV16384"/>
    </sheetView>
  </sheetViews>
  <sheetFormatPr defaultColWidth="9.00390625" defaultRowHeight="15.75"/>
  <cols>
    <col min="2" max="2" width="13.875" style="0" customWidth="1"/>
    <col min="4" max="4" width="10.50390625" style="0" bestFit="1" customWidth="1"/>
    <col min="6" max="6" width="35.375" style="0" customWidth="1"/>
    <col min="7" max="7" width="11.375" style="0" customWidth="1"/>
    <col min="8" max="8" width="13.50390625" style="0" customWidth="1"/>
    <col min="9" max="9" width="11.50390625" style="0" customWidth="1"/>
  </cols>
  <sheetData>
    <row r="1" spans="1:9" ht="48" customHeight="1">
      <c r="A1" s="244"/>
      <c r="B1" s="244"/>
      <c r="C1" s="244"/>
      <c r="D1" s="244"/>
      <c r="E1" s="245" t="s">
        <v>135</v>
      </c>
      <c r="F1" s="246"/>
      <c r="G1" s="247" t="s">
        <v>136</v>
      </c>
      <c r="H1" s="247" t="s">
        <v>137</v>
      </c>
      <c r="I1" s="247" t="s">
        <v>241</v>
      </c>
    </row>
    <row r="2" spans="1:9" ht="15.75">
      <c r="A2" s="265" t="s">
        <v>256</v>
      </c>
      <c r="B2" s="244"/>
      <c r="C2" s="244"/>
      <c r="D2" s="244"/>
      <c r="E2" s="246"/>
      <c r="F2" s="244"/>
      <c r="G2" s="248"/>
      <c r="H2" s="244"/>
      <c r="I2" s="243"/>
    </row>
    <row r="3" spans="1:9" ht="15.75" customHeight="1" hidden="1">
      <c r="A3" s="244"/>
      <c r="B3" s="244"/>
      <c r="C3" s="244"/>
      <c r="D3" s="244"/>
      <c r="E3" s="249" t="s">
        <v>138</v>
      </c>
      <c r="F3" s="249"/>
      <c r="G3" s="250">
        <v>125900</v>
      </c>
      <c r="H3" s="250">
        <v>77476.92307692302</v>
      </c>
      <c r="I3" s="250">
        <v>33896.15384615382</v>
      </c>
    </row>
    <row r="4" spans="1:9" ht="15.75" customHeight="1" hidden="1">
      <c r="A4" s="251" t="s">
        <v>139</v>
      </c>
      <c r="B4" s="252"/>
      <c r="C4" s="253">
        <v>62.6</v>
      </c>
      <c r="D4" s="253"/>
      <c r="E4" s="249" t="s">
        <v>140</v>
      </c>
      <c r="F4" s="249"/>
      <c r="G4" s="250">
        <v>130200</v>
      </c>
      <c r="H4" s="250">
        <v>80123.07692307686</v>
      </c>
      <c r="I4" s="250">
        <v>35053.84615384613</v>
      </c>
    </row>
    <row r="5" spans="1:9" ht="15.75" customHeight="1" hidden="1">
      <c r="A5" s="244"/>
      <c r="B5" s="244"/>
      <c r="C5" s="244"/>
      <c r="D5" s="244"/>
      <c r="E5" s="249"/>
      <c r="F5" s="249"/>
      <c r="G5" s="250"/>
      <c r="H5" s="250"/>
      <c r="I5" s="250"/>
    </row>
    <row r="6" spans="1:9" ht="15.75" customHeight="1" hidden="1">
      <c r="A6" s="244"/>
      <c r="B6" s="244"/>
      <c r="C6" s="244"/>
      <c r="D6" s="244"/>
      <c r="E6" s="246" t="s">
        <v>141</v>
      </c>
      <c r="F6" s="249"/>
      <c r="G6" s="250"/>
      <c r="H6" s="250"/>
      <c r="I6" s="250"/>
    </row>
    <row r="7" spans="1:9" ht="15.75" customHeight="1" hidden="1">
      <c r="A7" s="251" t="s">
        <v>142</v>
      </c>
      <c r="B7" s="252"/>
      <c r="C7" s="253">
        <v>65.72</v>
      </c>
      <c r="D7" s="253"/>
      <c r="E7" s="249" t="s">
        <v>143</v>
      </c>
      <c r="F7" s="249"/>
      <c r="G7" s="250">
        <v>136700</v>
      </c>
      <c r="H7" s="250">
        <v>84123.07692307686</v>
      </c>
      <c r="I7" s="250">
        <v>36803.84615384613</v>
      </c>
    </row>
    <row r="8" spans="1:9" ht="15.75" customHeight="1" hidden="1">
      <c r="A8" s="251" t="s">
        <v>144</v>
      </c>
      <c r="B8" s="252"/>
      <c r="C8" s="253">
        <v>67.93</v>
      </c>
      <c r="D8" s="253"/>
      <c r="E8" s="249" t="s">
        <v>140</v>
      </c>
      <c r="F8" s="249"/>
      <c r="G8" s="250">
        <v>141300</v>
      </c>
      <c r="H8" s="250">
        <v>86953.8461538461</v>
      </c>
      <c r="I8" s="250">
        <v>38042.307692307666</v>
      </c>
    </row>
    <row r="9" spans="1:9" ht="15.75" customHeight="1" hidden="1">
      <c r="A9" s="251" t="s">
        <v>145</v>
      </c>
      <c r="B9" s="252"/>
      <c r="C9" s="322">
        <v>69.76</v>
      </c>
      <c r="D9" s="322"/>
      <c r="E9" s="249"/>
      <c r="F9" s="254"/>
      <c r="G9" s="255"/>
      <c r="H9" s="250"/>
      <c r="I9" s="250"/>
    </row>
    <row r="10" spans="1:9" ht="15.75" customHeight="1" hidden="1">
      <c r="A10" s="256"/>
      <c r="B10" s="256"/>
      <c r="C10" s="256"/>
      <c r="D10" s="256"/>
      <c r="E10" s="246" t="s">
        <v>146</v>
      </c>
      <c r="F10" s="266"/>
      <c r="G10" s="267"/>
      <c r="H10" s="250"/>
      <c r="I10" s="250"/>
    </row>
    <row r="11" spans="1:9" ht="15.75" customHeight="1" hidden="1">
      <c r="A11" s="251" t="s">
        <v>147</v>
      </c>
      <c r="B11" s="252"/>
      <c r="C11" s="253">
        <v>75.48</v>
      </c>
      <c r="D11" s="253"/>
      <c r="E11" s="249" t="s">
        <v>148</v>
      </c>
      <c r="F11" s="249"/>
      <c r="G11" s="250">
        <v>157000</v>
      </c>
      <c r="H11" s="250">
        <v>96615.38461538455</v>
      </c>
      <c r="I11" s="250">
        <v>42269.230769230744</v>
      </c>
    </row>
    <row r="12" spans="1:9" ht="15.75" customHeight="1" hidden="1">
      <c r="A12" s="251" t="s">
        <v>149</v>
      </c>
      <c r="B12" s="252"/>
      <c r="C12" s="253">
        <v>77.5</v>
      </c>
      <c r="D12" s="253"/>
      <c r="E12" s="249" t="s">
        <v>150</v>
      </c>
      <c r="F12" s="249"/>
      <c r="G12" s="250">
        <v>161200</v>
      </c>
      <c r="H12" s="250">
        <v>99199.99999999993</v>
      </c>
      <c r="I12" s="250">
        <v>43399.99999999997</v>
      </c>
    </row>
    <row r="13" spans="1:9" ht="15.75" customHeight="1" hidden="1">
      <c r="A13" s="251" t="s">
        <v>151</v>
      </c>
      <c r="B13" s="252"/>
      <c r="C13" s="253">
        <v>80.14</v>
      </c>
      <c r="D13" s="253"/>
      <c r="E13" s="249" t="s">
        <v>152</v>
      </c>
      <c r="F13" s="257"/>
      <c r="G13" s="250">
        <v>166700</v>
      </c>
      <c r="H13" s="250">
        <v>102584.61538461532</v>
      </c>
      <c r="I13" s="250">
        <v>44880.769230769205</v>
      </c>
    </row>
    <row r="14" spans="1:9" ht="15.75" customHeight="1" hidden="1">
      <c r="A14" s="251" t="s">
        <v>153</v>
      </c>
      <c r="B14" s="252"/>
      <c r="C14" s="253">
        <v>82.64</v>
      </c>
      <c r="D14" s="253"/>
      <c r="E14" s="249" t="s">
        <v>154</v>
      </c>
      <c r="F14" s="257"/>
      <c r="G14" s="250">
        <v>171900</v>
      </c>
      <c r="H14" s="250">
        <v>105784.61538461532</v>
      </c>
      <c r="I14" s="250">
        <v>46280.769230769205</v>
      </c>
    </row>
    <row r="15" spans="1:9" ht="15.75" customHeight="1" hidden="1">
      <c r="A15" s="251" t="s">
        <v>155</v>
      </c>
      <c r="B15" s="252"/>
      <c r="C15" s="253">
        <v>83.89</v>
      </c>
      <c r="D15" s="253"/>
      <c r="E15" s="249" t="s">
        <v>156</v>
      </c>
      <c r="F15" s="257"/>
      <c r="G15" s="250">
        <v>174500</v>
      </c>
      <c r="H15" s="250">
        <v>107384.61538461532</v>
      </c>
      <c r="I15" s="250">
        <v>46980.769230769205</v>
      </c>
    </row>
    <row r="16" spans="1:9" ht="15.75" customHeight="1" hidden="1">
      <c r="A16" s="251" t="s">
        <v>155</v>
      </c>
      <c r="B16" s="252"/>
      <c r="C16" s="253">
        <v>84.47</v>
      </c>
      <c r="D16" s="253"/>
      <c r="E16" s="249" t="s">
        <v>157</v>
      </c>
      <c r="F16" s="257"/>
      <c r="G16" s="250">
        <v>175700</v>
      </c>
      <c r="H16" s="250">
        <v>108123.07692307685</v>
      </c>
      <c r="I16" s="250">
        <v>47303.84615384612</v>
      </c>
    </row>
    <row r="17" spans="1:9" ht="15.75" customHeight="1" hidden="1">
      <c r="A17" s="268"/>
      <c r="B17" s="268"/>
      <c r="C17" s="268"/>
      <c r="D17" s="268"/>
      <c r="E17" s="268"/>
      <c r="F17" s="268"/>
      <c r="G17" s="268"/>
      <c r="H17" s="268"/>
      <c r="I17" s="250"/>
    </row>
    <row r="18" spans="1:9" ht="15.75" customHeight="1" hidden="1">
      <c r="A18" s="251" t="s">
        <v>158</v>
      </c>
      <c r="B18" s="252"/>
      <c r="C18" s="253">
        <v>86.59</v>
      </c>
      <c r="D18" s="253"/>
      <c r="E18" s="249" t="s">
        <v>159</v>
      </c>
      <c r="F18" s="257"/>
      <c r="G18" s="250">
        <v>180100</v>
      </c>
      <c r="H18" s="250">
        <v>110830.76923076916</v>
      </c>
      <c r="I18" s="250">
        <v>48488.46153846151</v>
      </c>
    </row>
    <row r="19" spans="1:9" ht="15.75" customHeight="1" hidden="1">
      <c r="A19" s="251" t="s">
        <v>160</v>
      </c>
      <c r="B19" s="252"/>
      <c r="C19" s="253">
        <v>88.22</v>
      </c>
      <c r="D19" s="253"/>
      <c r="E19" s="249" t="s">
        <v>161</v>
      </c>
      <c r="F19" s="257"/>
      <c r="G19" s="250">
        <v>183500</v>
      </c>
      <c r="H19" s="250">
        <v>112923.07692307685</v>
      </c>
      <c r="I19" s="250">
        <v>49403.84615384612</v>
      </c>
    </row>
    <row r="20" spans="1:9" ht="15.75" customHeight="1" hidden="1">
      <c r="A20" s="251" t="s">
        <v>162</v>
      </c>
      <c r="B20" s="252"/>
      <c r="C20" s="253">
        <v>89.71</v>
      </c>
      <c r="D20" s="253"/>
      <c r="E20" s="249" t="s">
        <v>163</v>
      </c>
      <c r="F20" s="257"/>
      <c r="G20" s="250">
        <v>186600</v>
      </c>
      <c r="H20" s="250">
        <v>114830.76923076916</v>
      </c>
      <c r="I20" s="250">
        <v>50238.46153846151</v>
      </c>
    </row>
    <row r="21" spans="1:9" ht="15.75" hidden="1">
      <c r="A21" s="251"/>
      <c r="B21" s="261"/>
      <c r="C21" s="253">
        <v>91.97</v>
      </c>
      <c r="D21" s="253"/>
      <c r="E21" s="249" t="s">
        <v>247</v>
      </c>
      <c r="F21" s="257"/>
      <c r="G21" s="250">
        <v>191300</v>
      </c>
      <c r="H21" s="269">
        <f aca="true" t="shared" si="0" ref="H21:H26">G21*0.615384615384615</f>
        <v>117723.07692307685</v>
      </c>
      <c r="I21" s="264">
        <f aca="true" t="shared" si="1" ref="I21:I26">+H21*0.4375</f>
        <v>51503.84615384612</v>
      </c>
    </row>
    <row r="22" spans="1:9" ht="15.75" hidden="1">
      <c r="A22" s="251"/>
      <c r="B22" s="261"/>
      <c r="C22" s="253">
        <v>94.57</v>
      </c>
      <c r="D22" s="253"/>
      <c r="E22" s="249" t="s">
        <v>245</v>
      </c>
      <c r="F22" s="257"/>
      <c r="G22" s="250">
        <v>196700</v>
      </c>
      <c r="H22" s="269">
        <f t="shared" si="0"/>
        <v>121046.15384615377</v>
      </c>
      <c r="I22" s="264">
        <f t="shared" si="1"/>
        <v>52957.692307692276</v>
      </c>
    </row>
    <row r="23" spans="1:9" ht="15.75" hidden="1">
      <c r="A23" s="251"/>
      <c r="B23" s="261"/>
      <c r="C23" s="253">
        <v>96.01</v>
      </c>
      <c r="D23" s="253"/>
      <c r="E23" s="249" t="s">
        <v>246</v>
      </c>
      <c r="F23" s="257"/>
      <c r="G23" s="250">
        <v>199700</v>
      </c>
      <c r="H23" s="269">
        <f t="shared" si="0"/>
        <v>122892.30769230762</v>
      </c>
      <c r="I23" s="264">
        <f t="shared" si="1"/>
        <v>53765.38461538458</v>
      </c>
    </row>
    <row r="24" spans="1:9" s="141" customFormat="1" ht="15.75" hidden="1">
      <c r="A24" s="260"/>
      <c r="B24" s="261"/>
      <c r="C24" s="253">
        <v>86.39</v>
      </c>
      <c r="D24" s="253"/>
      <c r="E24" s="262" t="s">
        <v>257</v>
      </c>
      <c r="F24" s="263"/>
      <c r="G24" s="264">
        <v>179700</v>
      </c>
      <c r="H24" s="269">
        <f t="shared" si="0"/>
        <v>110584.61538461532</v>
      </c>
      <c r="I24" s="264">
        <f t="shared" si="1"/>
        <v>48380.769230769205</v>
      </c>
    </row>
    <row r="25" spans="1:9" s="141" customFormat="1" ht="15.75" hidden="1">
      <c r="A25" s="260"/>
      <c r="B25" s="261"/>
      <c r="C25" s="253">
        <v>87.26</v>
      </c>
      <c r="D25" s="253"/>
      <c r="E25" s="262" t="s">
        <v>248</v>
      </c>
      <c r="F25" s="263"/>
      <c r="G25" s="264">
        <v>181500</v>
      </c>
      <c r="H25" s="269">
        <f t="shared" si="0"/>
        <v>111692.30769230762</v>
      </c>
      <c r="I25" s="264">
        <f t="shared" si="1"/>
        <v>48865.38461538458</v>
      </c>
    </row>
    <row r="26" spans="1:9" s="141" customFormat="1" ht="15.75">
      <c r="A26" s="260"/>
      <c r="B26" s="261"/>
      <c r="C26" s="253">
        <v>88.13</v>
      </c>
      <c r="D26" s="253"/>
      <c r="E26" s="262" t="s">
        <v>255</v>
      </c>
      <c r="F26" s="263"/>
      <c r="G26" s="264">
        <v>183300</v>
      </c>
      <c r="H26" s="269">
        <f t="shared" si="0"/>
        <v>112799.99999999993</v>
      </c>
      <c r="I26" s="264">
        <f t="shared" si="1"/>
        <v>49349.99999999997</v>
      </c>
    </row>
    <row r="27" spans="1:9" ht="15.75">
      <c r="A27" s="260"/>
      <c r="B27" s="261"/>
      <c r="C27" s="253">
        <v>88.99</v>
      </c>
      <c r="D27" s="253"/>
      <c r="E27" s="262" t="s">
        <v>266</v>
      </c>
      <c r="F27" s="263"/>
      <c r="G27" s="264">
        <v>185100</v>
      </c>
      <c r="H27" s="269">
        <f>G27*0.615384615384615</f>
        <v>113907.69230769222</v>
      </c>
      <c r="I27" s="264">
        <f>+H27*0.4375</f>
        <v>49834.61538461535</v>
      </c>
    </row>
    <row r="28" spans="1:9" ht="15.75">
      <c r="A28" s="260"/>
      <c r="B28" s="261"/>
      <c r="C28" s="253">
        <v>89.9</v>
      </c>
      <c r="D28" s="253"/>
      <c r="E28" s="262" t="s">
        <v>267</v>
      </c>
      <c r="F28" s="263"/>
      <c r="G28" s="264">
        <v>187000</v>
      </c>
      <c r="H28" s="269">
        <f>G28*0.615384615384615</f>
        <v>115076.923076923</v>
      </c>
      <c r="I28" s="264">
        <f>+H28*0.4375</f>
        <v>50346.153846153815</v>
      </c>
    </row>
    <row r="29" spans="1:9" ht="12" customHeight="1">
      <c r="A29" s="243"/>
      <c r="B29" s="243"/>
      <c r="C29" s="243"/>
      <c r="D29" s="243"/>
      <c r="E29" s="243"/>
      <c r="F29" s="243"/>
      <c r="G29" s="243"/>
      <c r="H29" s="243"/>
      <c r="I29" s="250"/>
    </row>
    <row r="30" spans="1:9" ht="15.75">
      <c r="A30" s="323" t="s">
        <v>164</v>
      </c>
      <c r="B30" s="324"/>
      <c r="C30" s="324"/>
      <c r="D30" s="324"/>
      <c r="E30" s="324"/>
      <c r="F30" s="324"/>
      <c r="G30" s="325" t="s">
        <v>209</v>
      </c>
      <c r="H30" s="325"/>
      <c r="I30" s="314">
        <f>+H27+I27</f>
        <v>163742.30769230757</v>
      </c>
    </row>
    <row r="31" spans="1:9" ht="17.25" customHeight="1">
      <c r="A31" s="324"/>
      <c r="B31" s="324"/>
      <c r="C31" s="324"/>
      <c r="D31" s="324"/>
      <c r="E31" s="324"/>
      <c r="F31" s="324"/>
      <c r="G31" s="326"/>
      <c r="H31" s="326"/>
      <c r="I31" s="315"/>
    </row>
    <row r="32" spans="1:9" ht="15.75">
      <c r="A32" s="324"/>
      <c r="B32" s="324"/>
      <c r="C32" s="324"/>
      <c r="D32" s="324"/>
      <c r="E32" s="324"/>
      <c r="F32" s="324"/>
      <c r="G32" s="326"/>
      <c r="H32" s="326"/>
      <c r="I32" s="315"/>
    </row>
    <row r="33" spans="1:5" ht="12" customHeight="1">
      <c r="A33" s="239"/>
      <c r="B33" s="240"/>
      <c r="C33" s="240"/>
      <c r="D33" s="241"/>
      <c r="E33" s="242"/>
    </row>
    <row r="34" spans="1:9" ht="12.75" customHeight="1">
      <c r="A34" s="316" t="s">
        <v>165</v>
      </c>
      <c r="B34" s="317"/>
      <c r="C34" s="317"/>
      <c r="D34" s="318">
        <v>121049.18</v>
      </c>
      <c r="E34" s="319"/>
      <c r="F34" s="243"/>
      <c r="G34" s="243"/>
      <c r="H34" s="243"/>
      <c r="I34" s="243"/>
    </row>
    <row r="35" spans="1:9" ht="12.75" customHeight="1">
      <c r="A35" s="243"/>
      <c r="B35" s="243"/>
      <c r="C35" s="243"/>
      <c r="D35" s="259"/>
      <c r="E35" s="259"/>
      <c r="F35" s="243"/>
      <c r="G35" s="243"/>
      <c r="H35" s="243"/>
      <c r="I35" s="243"/>
    </row>
    <row r="36" spans="1:9" ht="15.75">
      <c r="A36" s="243"/>
      <c r="B36" s="243"/>
      <c r="C36" s="258" t="s">
        <v>166</v>
      </c>
      <c r="D36" s="320">
        <f>D34/33*14</f>
        <v>51354.19757575757</v>
      </c>
      <c r="E36" s="320"/>
      <c r="F36" s="243"/>
      <c r="G36" s="243"/>
      <c r="H36" s="321" t="s">
        <v>268</v>
      </c>
      <c r="I36" s="321"/>
    </row>
  </sheetData>
  <sheetProtection/>
  <mergeCells count="8">
    <mergeCell ref="I30:I32"/>
    <mergeCell ref="A34:C34"/>
    <mergeCell ref="D34:E34"/>
    <mergeCell ref="D36:E36"/>
    <mergeCell ref="H36:I36"/>
    <mergeCell ref="C9:D9"/>
    <mergeCell ref="A30:F32"/>
    <mergeCell ref="G30:H32"/>
  </mergeCells>
  <conditionalFormatting sqref="A4 A7:A9 A11:A16 A18:A24">
    <cfRule type="cellIs" priority="4" dxfId="4" operator="greaterThan" stopIfTrue="1">
      <formula>$L$4</formula>
    </cfRule>
  </conditionalFormatting>
  <conditionalFormatting sqref="A24">
    <cfRule type="cellIs" priority="3" dxfId="4" operator="greaterThan" stopIfTrue="1">
      <formula>$L$4</formula>
    </cfRule>
  </conditionalFormatting>
  <conditionalFormatting sqref="A25:A26">
    <cfRule type="cellIs" priority="2" dxfId="4" operator="greaterThan" stopIfTrue="1">
      <formula>$L$4</formula>
    </cfRule>
  </conditionalFormatting>
  <conditionalFormatting sqref="A25:A26">
    <cfRule type="cellIs" priority="1" dxfId="4" operator="greaterThan" stopIfTrue="1">
      <formula>$L$4</formula>
    </cfRule>
  </conditionalFormatting>
  <printOptions/>
  <pageMargins left="0.25" right="0.25" top="0.75" bottom="0.75" header="0.3" footer="0.3"/>
  <pageSetup horizontalDpi="300" verticalDpi="300" orientation="landscape" r:id="rId3"/>
  <legacyDrawing r:id="rId2"/>
</worksheet>
</file>

<file path=xl/worksheets/sheet9.xml><?xml version="1.0" encoding="utf-8"?>
<worksheet xmlns="http://schemas.openxmlformats.org/spreadsheetml/2006/main" xmlns:r="http://schemas.openxmlformats.org/officeDocument/2006/relationships">
  <dimension ref="A1:R43"/>
  <sheetViews>
    <sheetView showGridLines="0" workbookViewId="0" topLeftCell="A1">
      <selection activeCell="A1" sqref="A1"/>
    </sheetView>
  </sheetViews>
  <sheetFormatPr defaultColWidth="8.00390625" defaultRowHeight="15.75"/>
  <cols>
    <col min="1" max="6" width="8.00390625" style="103" customWidth="1"/>
    <col min="7" max="8" width="9.375" style="103" customWidth="1"/>
    <col min="9" max="9" width="4.125" style="103" customWidth="1"/>
    <col min="10" max="11" width="9.375" style="103" customWidth="1"/>
    <col min="12" max="12" width="4.125" style="103" customWidth="1"/>
    <col min="13" max="16" width="9.375" style="103" customWidth="1"/>
    <col min="17" max="17" width="4.125" style="103" customWidth="1"/>
    <col min="18" max="19" width="9.375" style="103" customWidth="1"/>
    <col min="20" max="16384" width="8.00390625" style="103" customWidth="1"/>
  </cols>
  <sheetData>
    <row r="1" spans="8:17" ht="12">
      <c r="H1" s="104" t="s">
        <v>167</v>
      </c>
      <c r="K1" s="105"/>
      <c r="L1" s="105"/>
      <c r="P1" s="104"/>
      <c r="Q1" s="106"/>
    </row>
    <row r="2" spans="8:17" ht="12">
      <c r="H2" s="104" t="s">
        <v>168</v>
      </c>
      <c r="K2" s="105"/>
      <c r="L2" s="105"/>
      <c r="M2" s="105"/>
      <c r="O2" s="104"/>
      <c r="P2" s="104"/>
      <c r="Q2" s="106"/>
    </row>
    <row r="6" spans="1:14" ht="12">
      <c r="A6" s="329" t="s">
        <v>169</v>
      </c>
      <c r="B6" s="329"/>
      <c r="C6" s="107"/>
      <c r="D6" s="331" t="s">
        <v>170</v>
      </c>
      <c r="E6" s="332"/>
      <c r="F6" s="108"/>
      <c r="G6" s="329" t="s">
        <v>171</v>
      </c>
      <c r="H6" s="329"/>
      <c r="I6" s="109"/>
      <c r="J6" s="327"/>
      <c r="K6" s="327"/>
      <c r="L6" s="110"/>
      <c r="M6" s="327"/>
      <c r="N6" s="327"/>
    </row>
    <row r="7" spans="1:14" ht="12">
      <c r="A7" s="330" t="s">
        <v>172</v>
      </c>
      <c r="B7" s="330"/>
      <c r="C7" s="111"/>
      <c r="D7" s="333" t="s">
        <v>173</v>
      </c>
      <c r="E7" s="334"/>
      <c r="F7" s="108"/>
      <c r="G7" s="330" t="s">
        <v>174</v>
      </c>
      <c r="H7" s="335"/>
      <c r="I7" s="112"/>
      <c r="J7" s="327"/>
      <c r="K7" s="327"/>
      <c r="L7" s="113"/>
      <c r="M7" s="327"/>
      <c r="N7" s="327"/>
    </row>
    <row r="8" spans="1:14" ht="12">
      <c r="A8" s="112"/>
      <c r="B8" s="112"/>
      <c r="C8" s="112"/>
      <c r="D8" s="112"/>
      <c r="E8" s="108"/>
      <c r="F8" s="108"/>
      <c r="G8" s="112"/>
      <c r="H8" s="112"/>
      <c r="I8" s="112"/>
      <c r="J8" s="113"/>
      <c r="K8" s="113"/>
      <c r="L8" s="113"/>
      <c r="M8" s="113"/>
      <c r="N8" s="113"/>
    </row>
    <row r="9" spans="1:14" ht="12">
      <c r="A9" s="114" t="s">
        <v>175</v>
      </c>
      <c r="B9" s="114" t="s">
        <v>176</v>
      </c>
      <c r="C9" s="109"/>
      <c r="D9" s="114" t="s">
        <v>177</v>
      </c>
      <c r="E9" s="115" t="s">
        <v>129</v>
      </c>
      <c r="F9" s="108"/>
      <c r="G9" s="114" t="s">
        <v>178</v>
      </c>
      <c r="H9" s="114" t="s">
        <v>179</v>
      </c>
      <c r="I9" s="109"/>
      <c r="J9" s="116"/>
      <c r="K9" s="116"/>
      <c r="L9" s="110"/>
      <c r="M9" s="116"/>
      <c r="N9" s="116"/>
    </row>
    <row r="10" spans="3:14" ht="12">
      <c r="C10" s="117"/>
      <c r="E10" s="117"/>
      <c r="F10" s="117"/>
      <c r="G10" s="117"/>
      <c r="J10" s="118"/>
      <c r="K10" s="118"/>
      <c r="L10" s="118"/>
      <c r="M10" s="118"/>
      <c r="N10" s="118"/>
    </row>
    <row r="11" spans="1:14" ht="12">
      <c r="A11" s="119">
        <v>0.415</v>
      </c>
      <c r="B11" s="120">
        <f>14*A11/4.3333</f>
        <v>1.3407795444580342</v>
      </c>
      <c r="C11" s="121"/>
      <c r="D11" s="119">
        <f>A11</f>
        <v>0.415</v>
      </c>
      <c r="E11" s="120">
        <f>32*D11/4.3333</f>
        <v>3.0646389587612206</v>
      </c>
      <c r="F11" s="118"/>
      <c r="G11" s="122">
        <f>A11</f>
        <v>0.415</v>
      </c>
      <c r="H11" s="120">
        <f>52*G11/4.3333</f>
        <v>4.980038307986984</v>
      </c>
      <c r="I11" s="119"/>
      <c r="J11" s="123"/>
      <c r="K11" s="124"/>
      <c r="L11" s="125"/>
      <c r="M11" s="123"/>
      <c r="N11" s="121"/>
    </row>
    <row r="12" spans="1:14" ht="12.75" thickBot="1">
      <c r="A12" s="126"/>
      <c r="B12" s="127"/>
      <c r="C12" s="128"/>
      <c r="D12" s="126"/>
      <c r="E12" s="129"/>
      <c r="F12" s="129"/>
      <c r="G12" s="126"/>
      <c r="H12" s="127"/>
      <c r="I12" s="126"/>
      <c r="J12" s="130"/>
      <c r="K12" s="130"/>
      <c r="L12" s="130"/>
      <c r="M12" s="130"/>
      <c r="N12" s="131"/>
    </row>
    <row r="13" spans="8:18" ht="12">
      <c r="H13" s="132"/>
      <c r="N13" s="132"/>
      <c r="R13" s="132"/>
    </row>
    <row r="14" spans="1:16" ht="12">
      <c r="A14" s="133" t="s">
        <v>180</v>
      </c>
      <c r="B14" s="134"/>
      <c r="C14" s="134"/>
      <c r="D14" s="134"/>
      <c r="E14" s="134"/>
      <c r="F14" s="134"/>
      <c r="G14" s="133"/>
      <c r="H14" s="133"/>
      <c r="I14" s="133"/>
      <c r="J14" s="133"/>
      <c r="K14" s="134"/>
      <c r="L14" s="134"/>
      <c r="M14" s="133"/>
      <c r="N14" s="133"/>
      <c r="O14" s="134"/>
      <c r="P14" s="133"/>
    </row>
    <row r="15" spans="1:16" ht="12">
      <c r="A15" s="133"/>
      <c r="B15" s="134"/>
      <c r="C15" s="134"/>
      <c r="D15" s="134"/>
      <c r="E15" s="134"/>
      <c r="F15" s="134"/>
      <c r="G15" s="133"/>
      <c r="H15" s="133"/>
      <c r="I15" s="133"/>
      <c r="J15" s="133"/>
      <c r="K15" s="134"/>
      <c r="L15" s="134"/>
      <c r="M15" s="133"/>
      <c r="N15" s="133"/>
      <c r="O15" s="134"/>
      <c r="P15" s="133"/>
    </row>
    <row r="16" spans="1:16" ht="12">
      <c r="A16" s="133" t="s">
        <v>181</v>
      </c>
      <c r="B16" s="134"/>
      <c r="C16" s="134"/>
      <c r="D16" s="134"/>
      <c r="E16" s="134"/>
      <c r="F16" s="134"/>
      <c r="G16" s="133"/>
      <c r="H16" s="133"/>
      <c r="I16" s="133"/>
      <c r="J16" s="133"/>
      <c r="K16" s="134"/>
      <c r="L16" s="134"/>
      <c r="M16" s="133"/>
      <c r="N16" s="133"/>
      <c r="O16" s="134"/>
      <c r="P16" s="133"/>
    </row>
    <row r="17" spans="1:16" ht="12">
      <c r="A17" s="133" t="s">
        <v>182</v>
      </c>
      <c r="B17" s="134"/>
      <c r="C17" s="134"/>
      <c r="D17" s="134"/>
      <c r="E17" s="134"/>
      <c r="F17" s="134"/>
      <c r="G17" s="133"/>
      <c r="H17" s="133"/>
      <c r="I17" s="133"/>
      <c r="J17" s="133"/>
      <c r="K17" s="134"/>
      <c r="L17" s="134"/>
      <c r="M17" s="133"/>
      <c r="N17" s="133"/>
      <c r="O17" s="134"/>
      <c r="P17" s="133"/>
    </row>
    <row r="18" spans="2:15" ht="12">
      <c r="B18" s="132"/>
      <c r="C18" s="132"/>
      <c r="D18" s="132"/>
      <c r="E18" s="132"/>
      <c r="F18" s="132"/>
      <c r="K18" s="132"/>
      <c r="L18" s="132"/>
      <c r="O18" s="132"/>
    </row>
    <row r="19" spans="2:15" ht="12">
      <c r="B19" s="132"/>
      <c r="C19" s="132"/>
      <c r="D19" s="132"/>
      <c r="E19" s="132"/>
      <c r="F19" s="132"/>
      <c r="K19" s="132"/>
      <c r="L19" s="132"/>
      <c r="O19" s="132"/>
    </row>
    <row r="20" spans="1:15" ht="12">
      <c r="A20" s="135" t="s">
        <v>183</v>
      </c>
      <c r="K20" s="132"/>
      <c r="L20" s="132"/>
      <c r="O20" s="132"/>
    </row>
    <row r="21" spans="1:15" ht="12">
      <c r="A21" s="135" t="s">
        <v>184</v>
      </c>
      <c r="K21" s="132"/>
      <c r="L21" s="132"/>
      <c r="O21" s="132"/>
    </row>
    <row r="22" spans="1:15" ht="12">
      <c r="A22" s="135"/>
      <c r="K22" s="132"/>
      <c r="L22" s="132"/>
      <c r="O22" s="132"/>
    </row>
    <row r="23" spans="1:11" ht="12">
      <c r="A23" s="135" t="s">
        <v>185</v>
      </c>
      <c r="D23" s="135" t="s">
        <v>186</v>
      </c>
      <c r="E23" s="135"/>
      <c r="K23" s="132"/>
    </row>
    <row r="24" spans="1:11" ht="12">
      <c r="A24" s="135" t="s">
        <v>187</v>
      </c>
      <c r="D24" s="135" t="s">
        <v>188</v>
      </c>
      <c r="E24" s="135"/>
      <c r="K24" s="132"/>
    </row>
    <row r="25" spans="1:11" ht="12">
      <c r="A25" s="135" t="s">
        <v>189</v>
      </c>
      <c r="D25" s="135" t="s">
        <v>190</v>
      </c>
      <c r="E25" s="135"/>
      <c r="K25" s="132"/>
    </row>
    <row r="26" spans="1:15" ht="12">
      <c r="A26" s="135" t="s">
        <v>1</v>
      </c>
      <c r="K26" s="132"/>
      <c r="L26" s="132"/>
      <c r="O26" s="132"/>
    </row>
    <row r="27" spans="1:15" ht="12">
      <c r="A27" s="135" t="s">
        <v>191</v>
      </c>
      <c r="K27" s="132"/>
      <c r="L27" s="132"/>
      <c r="O27" s="132"/>
    </row>
    <row r="28" spans="1:15" ht="12">
      <c r="A28" s="135" t="s">
        <v>192</v>
      </c>
      <c r="K28" s="132"/>
      <c r="L28" s="132"/>
      <c r="O28" s="132"/>
    </row>
    <row r="29" spans="1:15" ht="12">
      <c r="A29" s="136"/>
      <c r="K29" s="132"/>
      <c r="L29" s="132"/>
      <c r="O29" s="132"/>
    </row>
    <row r="30" ht="12">
      <c r="A30" s="103" t="s">
        <v>193</v>
      </c>
    </row>
    <row r="31" ht="12.75">
      <c r="C31" s="137" t="s">
        <v>194</v>
      </c>
    </row>
    <row r="32" ht="12.75">
      <c r="C32" s="137" t="s">
        <v>195</v>
      </c>
    </row>
    <row r="33" ht="12.75">
      <c r="C33" s="137" t="s">
        <v>196</v>
      </c>
    </row>
    <row r="34" spans="1:15" ht="12">
      <c r="A34" s="138" t="s">
        <v>197</v>
      </c>
      <c r="B34" s="136"/>
      <c r="C34" s="136"/>
      <c r="D34" s="136"/>
      <c r="E34" s="136"/>
      <c r="F34" s="136"/>
      <c r="K34" s="132"/>
      <c r="L34" s="132"/>
      <c r="O34" s="132"/>
    </row>
    <row r="35" spans="1:12" ht="12.75">
      <c r="A35" s="136"/>
      <c r="C35" s="137" t="s">
        <v>198</v>
      </c>
      <c r="D35" s="137"/>
      <c r="E35" s="137"/>
      <c r="F35" s="139"/>
      <c r="G35" s="137"/>
      <c r="H35" s="137"/>
      <c r="I35" s="137"/>
      <c r="J35" s="137"/>
      <c r="K35" s="137"/>
      <c r="L35" s="132"/>
    </row>
    <row r="36" spans="1:11" ht="12.75">
      <c r="A36" s="136"/>
      <c r="C36" s="137" t="s">
        <v>199</v>
      </c>
      <c r="D36" s="137"/>
      <c r="E36" s="137"/>
      <c r="F36" s="137"/>
      <c r="G36" s="137"/>
      <c r="H36" s="137"/>
      <c r="I36" s="137"/>
      <c r="J36" s="137"/>
      <c r="K36" s="137"/>
    </row>
    <row r="37" spans="3:11" ht="12.75">
      <c r="C37" s="137" t="s">
        <v>200</v>
      </c>
      <c r="D37" s="137"/>
      <c r="E37" s="137"/>
      <c r="F37" s="137"/>
      <c r="G37" s="137"/>
      <c r="H37" s="137"/>
      <c r="I37" s="137"/>
      <c r="J37" s="137"/>
      <c r="K37" s="137"/>
    </row>
    <row r="39" ht="12">
      <c r="A39" s="103" t="s">
        <v>201</v>
      </c>
    </row>
    <row r="40" spans="3:11" ht="12.75">
      <c r="C40" s="137" t="s">
        <v>202</v>
      </c>
      <c r="D40" s="137"/>
      <c r="E40" s="137"/>
      <c r="F40" s="137"/>
      <c r="G40" s="137"/>
      <c r="H40" s="137"/>
      <c r="I40" s="137"/>
      <c r="J40" s="137"/>
      <c r="K40" s="137"/>
    </row>
    <row r="41" spans="3:11" ht="12.75">
      <c r="C41" s="137" t="s">
        <v>203</v>
      </c>
      <c r="D41" s="137"/>
      <c r="E41" s="137"/>
      <c r="F41" s="137"/>
      <c r="G41" s="137"/>
      <c r="H41" s="137"/>
      <c r="I41" s="137"/>
      <c r="J41" s="137"/>
      <c r="K41" s="137"/>
    </row>
    <row r="42" spans="3:11" ht="12.75">
      <c r="C42" s="137" t="s">
        <v>204</v>
      </c>
      <c r="D42" s="137"/>
      <c r="E42" s="137"/>
      <c r="F42" s="137"/>
      <c r="G42" s="137"/>
      <c r="H42" s="137"/>
      <c r="I42" s="137"/>
      <c r="J42" s="137"/>
      <c r="K42" s="137"/>
    </row>
    <row r="43" spans="12:14" ht="15.75">
      <c r="L43" s="328">
        <f>'RATES-Fed'!Q67</f>
        <v>0</v>
      </c>
      <c r="M43" s="328"/>
      <c r="N43" s="328"/>
    </row>
  </sheetData>
  <sheetProtection/>
  <mergeCells count="11">
    <mergeCell ref="J6:K6"/>
    <mergeCell ref="J7:K7"/>
    <mergeCell ref="L43:N43"/>
    <mergeCell ref="A6:B6"/>
    <mergeCell ref="A7:B7"/>
    <mergeCell ref="M6:N6"/>
    <mergeCell ref="M7:N7"/>
    <mergeCell ref="D6:E6"/>
    <mergeCell ref="D7:E7"/>
    <mergeCell ref="G6:H6"/>
    <mergeCell ref="G7:H7"/>
  </mergeCells>
  <printOptions horizontalCentered="1"/>
  <pageMargins left="0.5" right="0.3" top="1" bottom="1" header="0.5" footer="0.5"/>
  <pageSetup horizontalDpi="600" verticalDpi="600" orientation="landscape"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 Data Solutions - WS1</dc:creator>
  <cp:keywords/>
  <dc:description/>
  <cp:lastModifiedBy>Amanda M Wright</cp:lastModifiedBy>
  <cp:lastPrinted>2018-01-26T15:35:36Z</cp:lastPrinted>
  <dcterms:created xsi:type="dcterms:W3CDTF">1997-02-25T19:32:14Z</dcterms:created>
  <dcterms:modified xsi:type="dcterms:W3CDTF">2018-02-13T17:05:37Z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