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8" tabRatio="784" activeTab="6"/>
  </bookViews>
  <sheets>
    <sheet name="Instructions " sheetId="1" r:id="rId1"/>
    <sheet name="1 Year" sheetId="2" r:id="rId2"/>
    <sheet name="2 Year" sheetId="3" r:id="rId3"/>
    <sheet name="3 Year" sheetId="4" r:id="rId4"/>
    <sheet name="4 Year" sheetId="5" r:id="rId5"/>
    <sheet name="5 Year" sheetId="6" r:id="rId6"/>
    <sheet name="RATES-Fed" sheetId="7" r:id="rId7"/>
    <sheet name="NIH sal cap info" sheetId="8" r:id="rId8"/>
    <sheet name="PM Conversion Chart" sheetId="9" r:id="rId9"/>
    <sheet name="Ref" sheetId="10" r:id="rId10"/>
  </sheets>
  <externalReferences>
    <externalReference r:id="rId13"/>
    <externalReference r:id="rId14"/>
  </externalReferences>
  <definedNames>
    <definedName name="APPTS">'Ref'!$C$9:$C$12</definedName>
    <definedName name="CombDirectTotal">#REF!</definedName>
    <definedName name="CombIndirect" localSheetId="7">#REF!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Year'!$A$1:$O$95</definedName>
    <definedName name="_xlnm.Print_Area" localSheetId="2">'2 Year'!$A$1:$P$96</definedName>
    <definedName name="_xlnm.Print_Area" localSheetId="3">'3 Year'!$A$1:$S$95</definedName>
    <definedName name="_xlnm.Print_Area" localSheetId="4">'4 Year'!$A$1:$W$95</definedName>
    <definedName name="_xlnm.Print_Area" localSheetId="5">'5 Year'!$A$1:$Y$95</definedName>
    <definedName name="_xlnm.Print_Area" localSheetId="7">'NIH sal cap info'!$A$1:$I$38</definedName>
    <definedName name="_xlnm.Print_Area" localSheetId="8">'PM Conversion Chart'!$A$1:$N$43</definedName>
    <definedName name="Print_Area_MI">#REF!</definedName>
    <definedName name="Print_Titles_MI" localSheetId="7">#REF!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List>
</comments>
</file>

<file path=xl/comments8.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<sst xmlns="http://schemas.openxmlformats.org/spreadsheetml/2006/main" count="849" uniqueCount="249">
  <si>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</si>
  <si>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</si>
  <si>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</si>
  <si>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</si>
  <si>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</si>
  <si>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</si>
  <si>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</si>
  <si>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</si>
  <si>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</si>
  <si>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</si>
  <si>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</si>
  <si>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</si>
  <si>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</si>
  <si>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</si>
  <si>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</si>
  <si>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</si>
  <si>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</si>
  <si>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</si>
  <si>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</si>
  <si>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</si>
  <si>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</si>
  <si>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</si>
  <si>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</si>
  <si>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</si>
  <si>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</si>
  <si>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</si>
  <si>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</si>
  <si>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</si>
  <si>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</si>
  <si>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</si>
  <si>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</si>
  <si>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</si>
  <si>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</si>
  <si>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</si>
  <si>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</si>
  <si>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</si>
  <si>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</si>
  <si>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</si>
  <si>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Computer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</si>
  <si>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</si>
  <si>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</si>
  <si>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</si>
  <si>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</si>
  <si>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</si>
  <si>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</si>
  <si>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</si>
  <si>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</si>
  <si>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</si>
  <si>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</si>
  <si>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</si>
  <si>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</si>
  <si>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</si>
  <si>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</si>
  <si>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</si>
  <si>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</si>
  <si>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</si>
  <si>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</si>
  <si>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</si>
  <si>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</si>
  <si>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</si>
  <si>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</si>
  <si>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</si>
  <si>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</si>
  <si>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</si>
  <si>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</si>
  <si>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</si>
  <si>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</si>
  <si>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</si>
  <si>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</si>
  <si>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</si>
  <si>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</si>
  <si>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</si>
  <si>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</si>
  <si>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</si>
  <si>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</si>
  <si>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</si>
  <si>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</si>
  <si>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</si>
  <si>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</si>
  <si>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</si>
  <si>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</si>
  <si>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</si>
  <si>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</si>
  <si>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</si>
  <si>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</si>
  <si>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</si>
  <si>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</si>
  <si>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</si>
  <si>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</si>
  <si>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</si>
  <si>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</si>
  <si>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 xml:space="preserve">5 Year Budget </t>
  </si>
  <si>
    <t xml:space="preserve">Sub-Contract &lt;$25,000 3): </t>
  </si>
  <si>
    <t xml:space="preserve">Sub-Contract &lt;$25,000 4): </t>
  </si>
  <si>
    <t>3)</t>
  </si>
  <si>
    <t>4)</t>
  </si>
  <si>
    <t>Step 1:  MANDATORY</t>
  </si>
  <si>
    <t>Click on the first "-" under salary and enter the appropriate base salary at the expected time of the award.</t>
  </si>
  <si>
    <t>Fringe Benefit Base for Project Period</t>
  </si>
  <si>
    <t>Year 6</t>
  </si>
  <si>
    <t>Year 7</t>
  </si>
  <si>
    <t>App't Type</t>
  </si>
  <si>
    <t>UC Tuition rates (Not Subject to Indirect)</t>
  </si>
  <si>
    <t xml:space="preserve">Instructions for Federal projects </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</si>
  <si>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</si>
  <si>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</si>
  <si>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</si>
  <si>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</si>
  <si>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</si>
  <si>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</si>
  <si>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</si>
  <si>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</si>
  <si>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</si>
  <si>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</si>
  <si>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</si>
  <si>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</si>
  <si>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</si>
  <si>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</si>
  <si>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</si>
  <si>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</si>
  <si>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</si>
  <si>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</si>
  <si>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</si>
  <si>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</si>
  <si>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</si>
  <si>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</si>
  <si>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</si>
  <si>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</si>
  <si>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</si>
  <si>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</si>
  <si>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</si>
  <si>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</si>
  <si>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</si>
  <si>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</si>
  <si>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</si>
  <si>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</si>
  <si>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</si>
  <si>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</si>
  <si>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</si>
  <si>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</si>
  <si>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</si>
  <si>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</si>
  <si>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</si>
  <si>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</si>
  <si>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</si>
  <si>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</si>
  <si>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</si>
  <si>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</si>
  <si>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</si>
  <si>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</si>
  <si>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</si>
  <si>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</si>
  <si>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</si>
  <si>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</si>
  <si>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</si>
  <si>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</si>
  <si>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</si>
  <si>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</si>
  <si>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</si>
  <si>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</si>
  <si>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</si>
  <si>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</si>
  <si>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</si>
  <si>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</si>
  <si>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</si>
  <si>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</si>
  <si>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</si>
  <si>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</si>
  <si>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</si>
  <si>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</si>
  <si>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</si>
  <si>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</si>
  <si>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</si>
  <si>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</si>
  <si>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</si>
  <si>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</si>
  <si>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</si>
  <si>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</si>
  <si>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</si>
  <si>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</si>
  <si>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</si>
  <si>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</si>
  <si>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</si>
  <si>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</si>
  <si>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</si>
  <si>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</si>
  <si>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</si>
  <si>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</si>
  <si>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</si>
  <si>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</si>
  <si>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LAM</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</si>
  <si>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</si>
  <si>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</si>
  <si>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</si>
  <si>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</si>
  <si>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</si>
  <si>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</si>
  <si>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</si>
  <si>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</si>
  <si>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</si>
  <si>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</si>
  <si>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Indirect Cost Rates (off Campus &amp; for Sub-Contracts $25,000 or less)</t>
  </si>
  <si>
    <t>Recess Cap</t>
  </si>
  <si>
    <t>`</t>
  </si>
  <si>
    <t>FY21</t>
  </si>
  <si>
    <t>o  January 1, 2009 to December 31, 2009</t>
  </si>
  <si>
    <t>o  January 1, 2010 to December 23, 2011</t>
  </si>
  <si>
    <t>o  January 1, 2008 to December 31, 2008</t>
  </si>
  <si>
    <t>o  January 12, 2014 to January 10, 2015</t>
  </si>
  <si>
    <t>FY22</t>
  </si>
  <si>
    <t>DHHS Salary Caps</t>
  </si>
  <si>
    <t>o  December 24, 2011 to January 11, 2014</t>
  </si>
  <si>
    <t>FY23</t>
  </si>
  <si>
    <t>7/21-6/22</t>
  </si>
  <si>
    <t>7/22-6/23</t>
  </si>
  <si>
    <t>FY24</t>
  </si>
  <si>
    <t>Exmpt Staff (Mnthly)/</t>
  </si>
  <si>
    <t>Dual Comp Faculty</t>
  </si>
  <si>
    <t>7/23-6/24</t>
  </si>
  <si>
    <t>B</t>
  </si>
  <si>
    <t>Dual Compensation Faculty</t>
  </si>
  <si>
    <t>C.</t>
  </si>
  <si>
    <t>AAUP Faculty</t>
  </si>
  <si>
    <t xml:space="preserve">AAUP Faculty Subtotal : </t>
  </si>
  <si>
    <t xml:space="preserve">Dual Comp Faculty Subtotal : </t>
  </si>
  <si>
    <t>o  January 8, 2017 to January 6, 2018</t>
  </si>
  <si>
    <t>FY25</t>
  </si>
  <si>
    <t>7/24-6/25</t>
  </si>
  <si>
    <t>o  January 7, 2018 and January 5, 2019</t>
  </si>
  <si>
    <t>F.</t>
  </si>
  <si>
    <r>
      <t xml:space="preserve">Participant Support Costs </t>
    </r>
    <r>
      <rPr>
        <b/>
        <sz val="9"/>
        <rFont val="Times New Roman"/>
        <family val="1"/>
      </rPr>
      <t>(Not Subject to F&amp;A)</t>
    </r>
  </si>
  <si>
    <t>Stipends</t>
  </si>
  <si>
    <t>Travel</t>
  </si>
  <si>
    <t>Subsistence</t>
  </si>
  <si>
    <t>Other</t>
  </si>
  <si>
    <t>Total Participant Support:</t>
  </si>
  <si>
    <t>Long Distance</t>
  </si>
  <si>
    <t>o  January 6, 2019 to January 4, 2020</t>
  </si>
  <si>
    <t>o  January 11, 2015 to January 09, 2016</t>
  </si>
  <si>
    <t>FY26</t>
  </si>
  <si>
    <t>7/25-6/26</t>
  </si>
  <si>
    <t>o  January 5, 2020 to January 2, 2021</t>
  </si>
  <si>
    <t>o  January 3, 2021 and Beyond</t>
  </si>
  <si>
    <t>Last Revised: 5/7/21</t>
  </si>
  <si>
    <t>FY27</t>
  </si>
  <si>
    <t>7/26-6/27</t>
  </si>
  <si>
    <t>Row Value</t>
  </si>
  <si>
    <t>Starting Year Calculation</t>
  </si>
  <si>
    <t>7/20-6/21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</si>
</sst>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s>
  <fonts count="108">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b/>
      <sz val="10"/>
      <name val="Courier"/>
      <family val="3"/>
    </font>
    <font>
      <sz val="10"/>
      <name val="Courier"/>
      <family val="0"/>
    </font>
    <font>
      <b/>
      <sz val="9"/>
      <name val="Times New Roman"/>
      <family val="1"/>
    </font>
    <font>
      <b/>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176" fontId="47"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91"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343">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0" fillId="0" borderId="0" xfId="0" applyAlignment="1">
      <alignment wrapText="1"/>
    </xf>
    <xf numFmtId="0" fontId="7" fillId="0" borderId="0" xfId="65"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164" fontId="0" fillId="0" borderId="0" xfId="0" applyNumberFormat="1" applyAlignment="1" applyProtection="1" quotePrefix="1">
      <alignment/>
      <protection/>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3" borderId="0" xfId="67" applyFont="1" applyFill="1" applyAlignment="1">
      <alignment horizontal="center"/>
      <protection/>
    </xf>
    <xf numFmtId="0" fontId="40" fillId="33" borderId="0" xfId="67" applyFont="1" applyFill="1">
      <alignment/>
      <protection/>
    </xf>
    <xf numFmtId="0" fontId="39" fillId="33" borderId="0" xfId="67" applyFont="1" applyFill="1">
      <alignment/>
      <protection/>
    </xf>
    <xf numFmtId="0" fontId="39" fillId="0" borderId="0" xfId="67" applyFont="1" applyFill="1" applyBorder="1">
      <alignment/>
      <protection/>
    </xf>
    <xf numFmtId="0" fontId="39" fillId="33" borderId="0" xfId="67" applyFont="1" applyFill="1" applyBorder="1" applyAlignment="1">
      <alignment horizontal="center"/>
      <protection/>
    </xf>
    <xf numFmtId="0" fontId="41" fillId="33" borderId="0" xfId="67" applyFont="1" applyFill="1">
      <alignment/>
      <protection/>
    </xf>
    <xf numFmtId="0" fontId="41" fillId="0" borderId="0" xfId="67" applyFont="1" applyFill="1" applyBorder="1">
      <alignment/>
      <protection/>
    </xf>
    <xf numFmtId="0" fontId="39" fillId="33" borderId="0" xfId="67" applyFont="1" applyFill="1" applyAlignment="1">
      <alignment horizontal="right"/>
      <protection/>
    </xf>
    <xf numFmtId="0" fontId="39" fillId="33"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4" borderId="10" xfId="67" applyFont="1" applyFill="1" applyBorder="1">
      <alignment/>
      <protection/>
    </xf>
    <xf numFmtId="2" fontId="42" fillId="34" borderId="10" xfId="67" applyNumberFormat="1" applyFont="1" applyFill="1" applyBorder="1">
      <alignment/>
      <protection/>
    </xf>
    <xf numFmtId="2" fontId="42" fillId="34" borderId="0" xfId="67" applyNumberFormat="1" applyFont="1" applyFill="1" applyBorder="1">
      <alignment/>
      <protection/>
    </xf>
    <xf numFmtId="0" fontId="42" fillId="0" borderId="0" xfId="67" applyFont="1">
      <alignment/>
      <protection/>
    </xf>
    <xf numFmtId="0" fontId="42" fillId="34" borderId="0" xfId="67" applyFont="1" applyFill="1" applyBorder="1">
      <alignment/>
      <protection/>
    </xf>
    <xf numFmtId="2" fontId="42" fillId="34" borderId="0" xfId="67" applyNumberFormat="1" applyFont="1" applyFill="1" applyBorder="1" applyAlignment="1">
      <alignment horizontal="right"/>
      <protection/>
    </xf>
    <xf numFmtId="2" fontId="42" fillId="34" borderId="0" xfId="67" applyNumberFormat="1" applyFont="1" applyFill="1" applyBorder="1" applyAlignment="1">
      <alignment horizontal="center"/>
      <protection/>
    </xf>
    <xf numFmtId="0" fontId="40" fillId="34" borderId="14" xfId="67" applyFont="1" applyFill="1" applyBorder="1">
      <alignment/>
      <protection/>
    </xf>
    <xf numFmtId="2" fontId="40" fillId="34" borderId="14" xfId="67" applyNumberFormat="1" applyFont="1" applyFill="1" applyBorder="1">
      <alignment/>
      <protection/>
    </xf>
    <xf numFmtId="2" fontId="42" fillId="34" borderId="14" xfId="67" applyNumberFormat="1" applyFont="1" applyFill="1" applyBorder="1">
      <alignment/>
      <protection/>
    </xf>
    <xf numFmtId="0" fontId="40" fillId="0" borderId="14" xfId="67" applyFont="1" applyBorder="1">
      <alignment/>
      <protection/>
    </xf>
    <xf numFmtId="0" fontId="40" fillId="34" borderId="0" xfId="67" applyFont="1" applyFill="1" applyBorder="1">
      <alignment/>
      <protection/>
    </xf>
    <xf numFmtId="2" fontId="40" fillId="34"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5"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5" fillId="0" borderId="0" xfId="0" applyNumberFormat="1" applyFont="1" applyAlignment="1" applyProtection="1">
      <alignment horizontal="centerContinuous"/>
      <protection/>
    </xf>
    <xf numFmtId="164" fontId="95" fillId="0" borderId="0" xfId="0" applyNumberFormat="1" applyFont="1" applyAlignment="1" applyProtection="1">
      <alignment/>
      <protection/>
    </xf>
    <xf numFmtId="0" fontId="95" fillId="0" borderId="0" xfId="0" applyFont="1" applyAlignment="1" applyProtection="1">
      <alignment/>
      <protection locked="0"/>
    </xf>
    <xf numFmtId="164" fontId="96" fillId="0" borderId="0" xfId="0" applyNumberFormat="1" applyFont="1" applyAlignment="1" applyProtection="1">
      <alignment horizontal="center"/>
      <protection/>
    </xf>
    <xf numFmtId="6" fontId="97" fillId="0" borderId="0" xfId="0" applyNumberFormat="1" applyFont="1" applyAlignment="1" applyProtection="1">
      <alignment/>
      <protection/>
    </xf>
    <xf numFmtId="37" fontId="97" fillId="0" borderId="0" xfId="0" applyNumberFormat="1" applyFont="1" applyAlignment="1" applyProtection="1">
      <alignment/>
      <protection/>
    </xf>
    <xf numFmtId="38" fontId="97" fillId="0" borderId="0" xfId="0" applyNumberFormat="1" applyFont="1" applyAlignment="1" applyProtection="1">
      <alignment/>
      <protection/>
    </xf>
    <xf numFmtId="0" fontId="96" fillId="0" borderId="0" xfId="0" applyFont="1" applyAlignment="1">
      <alignment/>
    </xf>
    <xf numFmtId="37" fontId="98" fillId="0" borderId="0" xfId="0" applyNumberFormat="1" applyFont="1" applyAlignment="1" applyProtection="1">
      <alignment/>
      <protection/>
    </xf>
    <xf numFmtId="38" fontId="98" fillId="0" borderId="0" xfId="0" applyNumberFormat="1" applyFont="1" applyAlignment="1" applyProtection="1">
      <alignment/>
      <protection/>
    </xf>
    <xf numFmtId="38" fontId="99" fillId="0" borderId="0" xfId="0" applyNumberFormat="1" applyFont="1" applyAlignment="1" applyProtection="1">
      <alignment/>
      <protection/>
    </xf>
    <xf numFmtId="168" fontId="100" fillId="0" borderId="0" xfId="42" applyNumberFormat="1" applyFont="1">
      <alignment/>
      <protection/>
    </xf>
    <xf numFmtId="0" fontId="97" fillId="0" borderId="0" xfId="0" applyFont="1" applyAlignment="1">
      <alignment/>
    </xf>
    <xf numFmtId="164" fontId="97" fillId="0" borderId="0" xfId="0" applyNumberFormat="1" applyFont="1" applyAlignment="1" applyProtection="1">
      <alignment/>
      <protection/>
    </xf>
    <xf numFmtId="0" fontId="95" fillId="0" borderId="0" xfId="0" applyFont="1" applyAlignment="1">
      <alignment/>
    </xf>
    <xf numFmtId="0" fontId="95" fillId="0" borderId="0" xfId="0" applyFont="1" applyAlignment="1">
      <alignment horizontal="centerContinuous"/>
    </xf>
    <xf numFmtId="38" fontId="97" fillId="0" borderId="0" xfId="0" applyNumberFormat="1" applyFont="1" applyAlignment="1" applyProtection="1">
      <alignment/>
      <protection locked="0"/>
    </xf>
    <xf numFmtId="168" fontId="97" fillId="0" borderId="0" xfId="42" applyNumberFormat="1" applyFont="1">
      <alignment/>
      <protection/>
    </xf>
    <xf numFmtId="38" fontId="96" fillId="0" borderId="0" xfId="0" applyNumberFormat="1" applyFont="1" applyAlignment="1" applyProtection="1">
      <alignment/>
      <protection/>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101" fillId="0" borderId="0" xfId="0" applyNumberFormat="1" applyFont="1" applyAlignment="1" applyProtection="1">
      <alignment horizontal="centerContinuous"/>
      <protection/>
    </xf>
    <xf numFmtId="164" fontId="101" fillId="0" borderId="0" xfId="0" applyNumberFormat="1" applyFont="1" applyAlignment="1" applyProtection="1">
      <alignment/>
      <protection/>
    </xf>
    <xf numFmtId="0" fontId="101" fillId="0" borderId="0" xfId="0" applyFont="1" applyAlignment="1" applyProtection="1">
      <alignment/>
      <protection locked="0"/>
    </xf>
    <xf numFmtId="37" fontId="102" fillId="0" borderId="0" xfId="0" applyNumberFormat="1" applyFont="1" applyAlignment="1" applyProtection="1">
      <alignment/>
      <protection/>
    </xf>
    <xf numFmtId="38" fontId="102" fillId="0" borderId="0" xfId="0" applyNumberFormat="1" applyFont="1" applyAlignment="1" applyProtection="1">
      <alignment/>
      <protection/>
    </xf>
    <xf numFmtId="0" fontId="103" fillId="0" borderId="0" xfId="0" applyFont="1" applyAlignment="1">
      <alignment/>
    </xf>
    <xf numFmtId="37" fontId="104" fillId="0" borderId="0" xfId="0" applyNumberFormat="1" applyFont="1" applyAlignment="1" applyProtection="1">
      <alignment/>
      <protection/>
    </xf>
    <xf numFmtId="38" fontId="104" fillId="0" borderId="0" xfId="0" applyNumberFormat="1" applyFont="1" applyAlignment="1" applyProtection="1">
      <alignment/>
      <protection/>
    </xf>
    <xf numFmtId="38" fontId="105" fillId="0" borderId="0" xfId="0" applyNumberFormat="1" applyFont="1" applyAlignment="1" applyProtection="1">
      <alignment/>
      <protection/>
    </xf>
    <xf numFmtId="168" fontId="106" fillId="0" borderId="0" xfId="42" applyNumberFormat="1" applyFont="1">
      <alignment/>
      <protection/>
    </xf>
    <xf numFmtId="0" fontId="102" fillId="0" borderId="0" xfId="0" applyFont="1" applyAlignment="1">
      <alignment/>
    </xf>
    <xf numFmtId="164" fontId="102" fillId="0" borderId="0" xfId="0" applyNumberFormat="1" applyFont="1" applyAlignment="1" applyProtection="1">
      <alignment/>
      <protection/>
    </xf>
    <xf numFmtId="0" fontId="101" fillId="0" borderId="0" xfId="0" applyFont="1" applyAlignment="1">
      <alignment/>
    </xf>
    <xf numFmtId="38" fontId="102" fillId="0" borderId="0" xfId="0" applyNumberFormat="1" applyFont="1" applyAlignment="1" applyProtection="1">
      <alignment/>
      <protection locked="0"/>
    </xf>
    <xf numFmtId="168" fontId="102" fillId="0" borderId="0" xfId="42" applyNumberFormat="1" applyFont="1">
      <alignment/>
      <protection/>
    </xf>
    <xf numFmtId="164" fontId="9" fillId="0" borderId="0" xfId="0" applyNumberFormat="1" applyFont="1" applyAlignment="1" applyProtection="1">
      <alignment horizontal="right"/>
      <protection/>
    </xf>
    <xf numFmtId="6" fontId="103" fillId="0" borderId="0" xfId="0" applyNumberFormat="1" applyFont="1" applyAlignment="1" applyProtection="1">
      <alignment horizontal="center"/>
      <protection/>
    </xf>
    <xf numFmtId="6" fontId="101" fillId="0" borderId="0" xfId="0" applyNumberFormat="1" applyFont="1" applyAlignment="1" applyProtection="1">
      <alignment/>
      <protection/>
    </xf>
    <xf numFmtId="168" fontId="102" fillId="0" borderId="11" xfId="42" applyNumberFormat="1" applyFont="1" applyBorder="1" applyProtection="1">
      <alignment/>
      <protection/>
    </xf>
    <xf numFmtId="168" fontId="102" fillId="0" borderId="0" xfId="42" applyNumberFormat="1" applyFont="1" applyProtection="1">
      <alignment/>
      <protection locked="0"/>
    </xf>
    <xf numFmtId="168" fontId="102" fillId="0" borderId="0" xfId="42" applyNumberFormat="1" applyFont="1" applyBorder="1">
      <alignment/>
      <protection/>
    </xf>
    <xf numFmtId="5" fontId="103"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2" fillId="0" borderId="13" xfId="42" applyNumberFormat="1" applyFont="1" applyBorder="1">
      <alignment/>
      <protection/>
    </xf>
    <xf numFmtId="38" fontId="97"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2" fillId="0" borderId="0" xfId="42" applyNumberFormat="1" applyFont="1" applyBorder="1" applyProtection="1">
      <alignment/>
      <protection/>
    </xf>
    <xf numFmtId="6" fontId="97"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2" fillId="0" borderId="0" xfId="0" applyNumberFormat="1" applyFont="1" applyBorder="1" applyAlignment="1" applyProtection="1">
      <alignment/>
      <protection/>
    </xf>
    <xf numFmtId="38" fontId="97"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0" fontId="0" fillId="0" borderId="0" xfId="65" applyFont="1" applyAlignment="1">
      <alignment horizontal="right"/>
      <protection/>
    </xf>
    <xf numFmtId="0" fontId="5" fillId="0" borderId="0" xfId="65" applyFont="1" applyProtection="1">
      <alignment/>
      <protection locked="0"/>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6" fillId="0" borderId="0" xfId="0" applyFont="1" applyAlignment="1">
      <alignment horizontal="right" wrapText="1"/>
    </xf>
    <xf numFmtId="176" fontId="47"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65" applyNumberFormat="1" applyFont="1" applyFill="1" applyProtection="1">
      <alignment/>
      <protection locked="0"/>
    </xf>
    <xf numFmtId="38" fontId="97" fillId="0" borderId="0" xfId="0" applyNumberFormat="1" applyFont="1" applyAlignment="1" applyProtection="1">
      <alignment/>
      <protection/>
    </xf>
    <xf numFmtId="38" fontId="97"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6" fontId="97"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0" fontId="0" fillId="0" borderId="0" xfId="0" applyBorder="1" applyAlignment="1">
      <alignment vertical="center" wrapText="1"/>
    </xf>
    <xf numFmtId="10" fontId="5" fillId="0" borderId="0" xfId="65" applyNumberFormat="1" applyFont="1" applyProtection="1">
      <alignment/>
      <protection locked="0"/>
    </xf>
    <xf numFmtId="14" fontId="5" fillId="0" borderId="0" xfId="65" applyNumberFormat="1" applyFont="1" applyAlignment="1">
      <alignment horizontal="center"/>
      <protection/>
    </xf>
    <xf numFmtId="168" fontId="14" fillId="0" borderId="0" xfId="42" applyNumberFormat="1" applyFont="1" applyBorder="1">
      <alignment/>
      <protection/>
    </xf>
    <xf numFmtId="168" fontId="14" fillId="0" borderId="13" xfId="42" applyNumberFormat="1" applyFont="1" applyBorder="1" applyProtection="1">
      <alignment/>
      <protection/>
    </xf>
    <xf numFmtId="168" fontId="14" fillId="0" borderId="13" xfId="42" applyNumberFormat="1" applyFont="1" applyBorder="1">
      <alignment/>
      <protection/>
    </xf>
    <xf numFmtId="164" fontId="0" fillId="0" borderId="0" xfId="0" applyNumberFormat="1" applyFont="1" applyAlignment="1" applyProtection="1">
      <alignment horizontal="left"/>
      <protection/>
    </xf>
    <xf numFmtId="38" fontId="1" fillId="35" borderId="18" xfId="44" applyNumberFormat="1" applyFont="1" applyFill="1" applyBorder="1" applyAlignment="1">
      <alignment/>
      <protection/>
    </xf>
    <xf numFmtId="38" fontId="1" fillId="35" borderId="19" xfId="44" applyNumberFormat="1" applyFont="1" applyFill="1" applyBorder="1" applyAlignment="1">
      <alignment/>
      <protection/>
    </xf>
    <xf numFmtId="0" fontId="7" fillId="0" borderId="13" xfId="65" applyFont="1" applyBorder="1">
      <alignment/>
      <protection/>
    </xf>
    <xf numFmtId="10" fontId="49" fillId="16" borderId="0" xfId="65" applyNumberFormat="1" applyFont="1" applyFill="1" applyProtection="1">
      <alignment/>
      <protection locked="0"/>
    </xf>
    <xf numFmtId="0" fontId="7" fillId="16" borderId="0" xfId="65" applyFont="1" applyFill="1">
      <alignment/>
      <protection/>
    </xf>
    <xf numFmtId="187" fontId="0" fillId="0" borderId="0" xfId="65" applyNumberFormat="1" applyFont="1">
      <alignment/>
      <protection/>
    </xf>
    <xf numFmtId="0" fontId="0" fillId="0" borderId="0" xfId="65" applyFont="1">
      <alignment/>
      <protection/>
    </xf>
    <xf numFmtId="0" fontId="8" fillId="0" borderId="0" xfId="65" applyFont="1">
      <alignment/>
      <protection/>
    </xf>
    <xf numFmtId="10" fontId="5" fillId="16" borderId="0" xfId="65" applyNumberFormat="1" applyFont="1" applyFill="1" applyProtection="1">
      <alignment/>
      <protection locked="0"/>
    </xf>
    <xf numFmtId="10" fontId="0" fillId="0" borderId="0" xfId="65" applyNumberFormat="1" applyFont="1" applyProtection="1">
      <alignment/>
      <protection/>
    </xf>
    <xf numFmtId="37" fontId="7" fillId="0" borderId="0" xfId="65" applyNumberFormat="1" applyFont="1" applyProtection="1">
      <alignment/>
      <protection/>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0" fontId="7" fillId="0" borderId="0" xfId="65" applyFont="1" applyAlignment="1">
      <alignment horizontal="center"/>
      <protection/>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6" fillId="0" borderId="0" xfId="63" applyFont="1" applyAlignment="1">
      <alignment horizontal="right" wrapText="1"/>
      <protection/>
    </xf>
    <xf numFmtId="38" fontId="1" fillId="36" borderId="18" xfId="45" applyNumberFormat="1" applyFont="1" applyFill="1" applyBorder="1" applyAlignment="1">
      <alignment/>
    </xf>
    <xf numFmtId="38" fontId="1" fillId="36" borderId="19" xfId="45" applyNumberFormat="1" applyFont="1" applyFill="1" applyBorder="1" applyAlignment="1">
      <alignment/>
    </xf>
    <xf numFmtId="38" fontId="1" fillId="37"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7"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33" borderId="13" xfId="67" applyFont="1" applyFill="1" applyBorder="1" applyAlignment="1">
      <alignment horizontal="center"/>
      <protection/>
    </xf>
    <xf numFmtId="0" fontId="40" fillId="0" borderId="13" xfId="67" applyFont="1" applyBorder="1" applyAlignment="1">
      <alignment horizontal="center"/>
      <protection/>
    </xf>
    <xf numFmtId="0" fontId="39" fillId="33" borderId="0" xfId="67" applyFont="1" applyFill="1" applyAlignment="1">
      <alignment horizontal="center"/>
      <protection/>
    </xf>
    <xf numFmtId="0" fontId="39" fillId="33" borderId="13" xfId="67" applyFont="1" applyFill="1" applyBorder="1" applyAlignment="1">
      <alignment horizontal="center"/>
      <protection/>
    </xf>
    <xf numFmtId="0" fontId="40" fillId="0" borderId="13" xfId="67" applyFont="1" applyBorder="1" applyAlignment="1">
      <alignment horizontal="center"/>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3" borderId="0" xfId="67" applyFont="1" applyFill="1" applyAlignment="1">
      <alignment horizontal="center"/>
      <protection/>
    </xf>
    <xf numFmtId="0" fontId="40" fillId="0" borderId="0" xfId="67" applyFont="1" applyAlignment="1">
      <alignment horizontal="center"/>
      <protection/>
    </xf>
    <xf numFmtId="10" fontId="0" fillId="0" borderId="0" xfId="65" applyNumberFormat="1" applyFont="1" applyAlignment="1" applyProtection="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10</xdr:row>
      <xdr:rowOff>28575</xdr:rowOff>
    </xdr:from>
    <xdr:to>
      <xdr:col>0</xdr:col>
      <xdr:colOff>171450</xdr:colOff>
      <xdr:row>11</xdr:row>
      <xdr:rowOff>28575</xdr:rowOff>
    </xdr:to>
    <xdr:pic>
      <xdr:nvPicPr>
        <xdr:cNvPr id="1" name="Picture 1" descr="BD21298_"/>
        <xdr:cNvPicPr preferRelativeResize="1">
          <a:picLocks noChangeAspect="1"/>
        </xdr:cNvPicPr>
      </xdr:nvPicPr>
      <xdr:blipFill>
        <a:blip r:embed="rId1"/>
        <a:stretch>
          <a:fillRect/>
        </a:stretch>
      </xdr:blipFill>
      <xdr:spPr>
        <a:xfrm>
          <a:off x="57150" y="1628775"/>
          <a:ext cx="11430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71"/>
  <sheetViews>
    <sheetView workbookViewId="0" topLeftCell="A1">
      <selection activeCell="A6" sqref="A6"/>
    </sheetView>
  </sheetViews>
  <sheetFormatPr defaultColWidth="9.00390625" defaultRowHeight="15.75"/>
  <sheetData>
    <row r="1" s="77" customFormat="1" ht="17.25">
      <c r="A1" s="77" t="s">
        <v>103</v>
      </c>
    </row>
    <row r="3" s="71" customFormat="1" ht="15">
      <c r="A3" s="71" t="s">
        <v>96</v>
      </c>
    </row>
    <row r="4" ht="15">
      <c r="A4" t="s">
        <v>71</v>
      </c>
    </row>
    <row r="5" ht="15">
      <c r="B5" t="s">
        <v>79</v>
      </c>
    </row>
    <row r="6" spans="1:2" ht="18.75">
      <c r="A6" s="91"/>
      <c r="B6" s="90"/>
    </row>
    <row r="7" spans="1:2" ht="18.75">
      <c r="A7" s="91"/>
      <c r="B7" s="71"/>
    </row>
    <row r="9" ht="15">
      <c r="A9" t="s">
        <v>104</v>
      </c>
    </row>
    <row r="10" ht="15">
      <c r="B10" t="s">
        <v>178</v>
      </c>
    </row>
    <row r="11" ht="15">
      <c r="C11" t="s">
        <v>179</v>
      </c>
    </row>
    <row r="12" ht="15">
      <c r="B12" t="s">
        <v>180</v>
      </c>
    </row>
    <row r="13" ht="15">
      <c r="B13" t="s">
        <v>80</v>
      </c>
    </row>
    <row r="14" ht="15">
      <c r="B14" t="s">
        <v>81</v>
      </c>
    </row>
    <row r="15" ht="15">
      <c r="B15" t="s">
        <v>105</v>
      </c>
    </row>
    <row r="17" ht="15">
      <c r="B17" t="s">
        <v>82</v>
      </c>
    </row>
    <row r="18" ht="15">
      <c r="C18" t="s">
        <v>83</v>
      </c>
    </row>
    <row r="20" ht="15">
      <c r="B20" t="s">
        <v>97</v>
      </c>
    </row>
    <row r="21" ht="15">
      <c r="C21" t="s">
        <v>106</v>
      </c>
    </row>
    <row r="22" ht="15">
      <c r="C22" s="71" t="s">
        <v>107</v>
      </c>
    </row>
    <row r="23" ht="15">
      <c r="C23" s="71"/>
    </row>
    <row r="24" ht="15">
      <c r="B24" t="s">
        <v>112</v>
      </c>
    </row>
    <row r="25" ht="15">
      <c r="C25" s="71" t="s">
        <v>108</v>
      </c>
    </row>
    <row r="27" ht="15">
      <c r="B27" t="s">
        <v>84</v>
      </c>
    </row>
    <row r="29" spans="2:12" ht="15.75" customHeight="1">
      <c r="B29" s="295" t="s">
        <v>115</v>
      </c>
      <c r="C29" s="295"/>
      <c r="D29" s="295"/>
      <c r="E29" s="295"/>
      <c r="F29" s="295"/>
      <c r="G29" s="295"/>
      <c r="H29" s="295"/>
      <c r="I29" s="295"/>
      <c r="J29" s="295"/>
      <c r="K29" s="295"/>
      <c r="L29" s="295"/>
    </row>
    <row r="30" spans="2:12" ht="15">
      <c r="B30" s="295"/>
      <c r="C30" s="295"/>
      <c r="D30" s="295"/>
      <c r="E30" s="295"/>
      <c r="F30" s="295"/>
      <c r="G30" s="295"/>
      <c r="H30" s="295"/>
      <c r="I30" s="295"/>
      <c r="J30" s="295"/>
      <c r="K30" s="295"/>
      <c r="L30" s="295"/>
    </row>
    <row r="31" spans="2:12" ht="15" hidden="1">
      <c r="B31" s="295"/>
      <c r="C31" s="295"/>
      <c r="D31" s="295"/>
      <c r="E31" s="295"/>
      <c r="F31" s="295"/>
      <c r="G31" s="295"/>
      <c r="H31" s="295"/>
      <c r="I31" s="295"/>
      <c r="J31" s="295"/>
      <c r="K31" s="295"/>
      <c r="L31" s="295"/>
    </row>
    <row r="32" spans="2:12" ht="15">
      <c r="B32" s="87"/>
      <c r="C32" s="87"/>
      <c r="D32" s="87"/>
      <c r="E32" s="87"/>
      <c r="F32" s="87"/>
      <c r="G32" s="87"/>
      <c r="H32" s="87"/>
      <c r="I32" s="87"/>
      <c r="J32" s="87"/>
      <c r="K32" s="87"/>
      <c r="L32" s="87"/>
    </row>
    <row r="33" ht="15">
      <c r="B33" t="s">
        <v>109</v>
      </c>
    </row>
    <row r="34" ht="15">
      <c r="B34" t="s">
        <v>111</v>
      </c>
    </row>
    <row r="35" ht="15">
      <c r="C35" s="71" t="s">
        <v>72</v>
      </c>
    </row>
    <row r="36" spans="11:13" ht="15">
      <c r="K36" s="296">
        <f>'RATES-Fed'!Q67</f>
        <v>0</v>
      </c>
      <c r="L36" s="296"/>
      <c r="M36" s="296"/>
    </row>
    <row r="38" spans="2:12" ht="15">
      <c r="B38" s="295" t="s">
        <v>110</v>
      </c>
      <c r="C38" s="295"/>
      <c r="D38" s="295"/>
      <c r="E38" s="295"/>
      <c r="F38" s="295"/>
      <c r="G38" s="295"/>
      <c r="H38" s="295"/>
      <c r="I38" s="295"/>
      <c r="J38" s="295"/>
      <c r="K38" s="295"/>
      <c r="L38" s="295"/>
    </row>
    <row r="39" spans="2:12" ht="15">
      <c r="B39" s="295"/>
      <c r="C39" s="295"/>
      <c r="D39" s="295"/>
      <c r="E39" s="295"/>
      <c r="F39" s="295"/>
      <c r="G39" s="295"/>
      <c r="H39" s="295"/>
      <c r="I39" s="295"/>
      <c r="J39" s="295"/>
      <c r="K39" s="295"/>
      <c r="L39" s="295"/>
    </row>
    <row r="40" spans="2:12" ht="15">
      <c r="B40" s="87"/>
      <c r="C40" s="87"/>
      <c r="D40" s="87"/>
      <c r="E40" s="87"/>
      <c r="F40" s="87"/>
      <c r="G40" s="87"/>
      <c r="H40" s="87"/>
      <c r="I40" s="87"/>
      <c r="J40" s="87"/>
      <c r="K40" s="87"/>
      <c r="L40" s="87"/>
    </row>
    <row r="41" spans="2:12" ht="15">
      <c r="B41" s="295" t="s">
        <v>113</v>
      </c>
      <c r="C41" s="295"/>
      <c r="D41" s="295"/>
      <c r="E41" s="295"/>
      <c r="F41" s="295"/>
      <c r="G41" s="295"/>
      <c r="H41" s="295"/>
      <c r="I41" s="295"/>
      <c r="J41" s="295"/>
      <c r="K41" s="295"/>
      <c r="L41" s="87"/>
    </row>
    <row r="42" spans="2:12" ht="15">
      <c r="B42" s="87"/>
      <c r="C42" s="87"/>
      <c r="D42" s="87"/>
      <c r="E42" s="87"/>
      <c r="F42" s="87"/>
      <c r="G42" s="87"/>
      <c r="H42" s="87"/>
      <c r="I42" s="87"/>
      <c r="J42" s="87"/>
      <c r="K42" s="87"/>
      <c r="L42" s="87"/>
    </row>
    <row r="43" ht="15">
      <c r="B43" t="s">
        <v>73</v>
      </c>
    </row>
    <row r="45" ht="15">
      <c r="B45" t="s">
        <v>74</v>
      </c>
    </row>
    <row r="47" ht="15">
      <c r="B47" t="s">
        <v>75</v>
      </c>
    </row>
    <row r="49" ht="15">
      <c r="B49" t="s">
        <v>76</v>
      </c>
    </row>
    <row r="50" ht="15">
      <c r="B50" t="s">
        <v>77</v>
      </c>
    </row>
    <row r="52" ht="15">
      <c r="B52" t="s">
        <v>78</v>
      </c>
    </row>
    <row r="53" ht="15">
      <c r="B53" s="71" t="s">
        <v>114</v>
      </c>
    </row>
    <row r="71" spans="11:13" ht="15">
      <c r="K71" s="296">
        <f>'RATES-Fed'!Q67</f>
        <v>0</v>
      </c>
      <c r="L71" s="296"/>
      <c r="M71" s="296"/>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5" customWidth="1"/>
    <col min="5" max="6" width="10.875" style="85" customWidth="1"/>
    <col min="7" max="8" width="10.00390625" style="85" customWidth="1"/>
    <col min="9" max="9" width="10.875" style="85" customWidth="1"/>
    <col min="10" max="16384" width="10.00390625" style="85" customWidth="1"/>
  </cols>
  <sheetData>
    <row r="1" ht="15">
      <c r="B1" s="97" t="s">
        <v>128</v>
      </c>
    </row>
    <row r="2" spans="5:8" ht="15">
      <c r="E2" s="98"/>
      <c r="F2" s="96"/>
      <c r="H2" s="96"/>
    </row>
    <row r="3" spans="5:8" ht="15">
      <c r="E3" s="98"/>
      <c r="F3" s="96"/>
      <c r="H3" s="96"/>
    </row>
    <row r="4" spans="5:8" ht="15">
      <c r="E4" s="98"/>
      <c r="F4" s="96"/>
      <c r="H4" s="96"/>
    </row>
    <row r="5" spans="5:8" ht="15">
      <c r="E5" s="98"/>
      <c r="F5" s="96"/>
      <c r="H5" s="96"/>
    </row>
    <row r="6" spans="5:8" ht="15">
      <c r="E6" s="98"/>
      <c r="F6" s="96"/>
      <c r="H6" s="96"/>
    </row>
    <row r="7" spans="8:9" ht="15">
      <c r="H7" s="96"/>
      <c r="I7" s="96"/>
    </row>
    <row r="8" ht="15">
      <c r="H8" s="96"/>
    </row>
    <row r="9" spans="1:4" ht="15">
      <c r="A9" s="96"/>
      <c r="C9" s="96" t="s">
        <v>125</v>
      </c>
      <c r="D9" s="96" t="s">
        <v>127</v>
      </c>
    </row>
    <row r="10" spans="3:4" ht="15">
      <c r="C10" s="96" t="s">
        <v>124</v>
      </c>
      <c r="D10" s="96" t="s">
        <v>126</v>
      </c>
    </row>
    <row r="11" spans="1:4" ht="15">
      <c r="A11" s="96"/>
      <c r="C11" s="96"/>
      <c r="D11" s="96"/>
    </row>
    <row r="12" spans="3:4" ht="15">
      <c r="C12" s="96"/>
      <c r="D12" s="9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95"/>
  <sheetViews>
    <sheetView showGridLines="0" zoomScale="75" zoomScaleNormal="75" workbookViewId="0" topLeftCell="A20">
      <selection activeCell="K20" sqref="K20"/>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2" bestFit="1" customWidth="1"/>
    <col min="12" max="12" width="10.125" style="181" bestFit="1" customWidth="1"/>
    <col min="13" max="13" width="14.625" style="0" customWidth="1"/>
    <col min="14" max="14" width="2.625" style="0" customWidth="1"/>
  </cols>
  <sheetData>
    <row r="1" spans="1:11" ht="18.75">
      <c r="A1" s="17" t="s">
        <v>0</v>
      </c>
      <c r="B1" s="18"/>
      <c r="C1" s="18"/>
      <c r="D1" s="18"/>
      <c r="E1" s="18"/>
      <c r="F1" s="18"/>
      <c r="G1" s="18"/>
      <c r="H1" s="18"/>
      <c r="I1" s="18"/>
      <c r="J1" s="19"/>
      <c r="K1" s="148"/>
    </row>
    <row r="2" spans="1:12" ht="18.75">
      <c r="A2" s="17" t="s">
        <v>189</v>
      </c>
      <c r="B2" s="18"/>
      <c r="C2" s="18"/>
      <c r="D2" s="18"/>
      <c r="E2" s="18"/>
      <c r="F2" s="18"/>
      <c r="G2" s="18"/>
      <c r="H2" s="18"/>
      <c r="I2" s="18"/>
      <c r="J2" s="19"/>
      <c r="K2" s="148"/>
      <c r="L2" s="169"/>
    </row>
    <row r="3" spans="1:13" ht="9.75" customHeight="1">
      <c r="A3" s="10" t="s">
        <v>1</v>
      </c>
      <c r="B3" s="1"/>
      <c r="J3" s="11" t="s">
        <v>1</v>
      </c>
      <c r="K3" s="149"/>
      <c r="L3" s="170"/>
      <c r="M3" s="8"/>
    </row>
    <row r="4" spans="1:15" ht="15.75">
      <c r="A4" s="22" t="s">
        <v>2</v>
      </c>
      <c r="B4" s="1"/>
      <c r="D4" s="10" t="s">
        <v>70</v>
      </c>
      <c r="G4" s="3"/>
      <c r="I4" s="194" t="s">
        <v>70</v>
      </c>
      <c r="J4" s="20" t="s">
        <v>3</v>
      </c>
      <c r="K4" s="300" t="s">
        <v>70</v>
      </c>
      <c r="L4" s="301"/>
      <c r="M4" s="301"/>
      <c r="N4" s="301"/>
      <c r="O4" s="302"/>
    </row>
    <row r="5" spans="1:15" ht="18.75" customHeight="1">
      <c r="A5" s="22" t="s">
        <v>4</v>
      </c>
      <c r="B5" s="1"/>
      <c r="D5" s="10" t="s">
        <v>70</v>
      </c>
      <c r="E5" s="3"/>
      <c r="F5" s="3"/>
      <c r="H5" s="38"/>
      <c r="I5" s="196"/>
      <c r="K5" s="303"/>
      <c r="L5" s="304"/>
      <c r="M5" s="304"/>
      <c r="N5" s="304"/>
      <c r="O5" s="305"/>
    </row>
    <row r="6" spans="1:13" ht="15.75">
      <c r="A6" s="14"/>
      <c r="B6" s="22" t="s">
        <v>5</v>
      </c>
      <c r="D6" s="73">
        <f>'RATES-Fed'!E2</f>
        <v>44317</v>
      </c>
      <c r="E6" s="12" t="s">
        <v>6</v>
      </c>
      <c r="F6" s="12"/>
      <c r="G6" s="73">
        <f>'RATES-Fed'!G2</f>
        <v>46142</v>
      </c>
      <c r="H6" s="4"/>
      <c r="I6" s="4"/>
      <c r="J6" s="2"/>
      <c r="K6" s="150"/>
      <c r="L6" s="171"/>
      <c r="M6" s="8"/>
    </row>
    <row r="7" spans="5:14" ht="7.5" customHeight="1">
      <c r="E7" s="3"/>
      <c r="F7" s="3"/>
      <c r="G7" s="1"/>
      <c r="H7" s="1"/>
      <c r="I7" s="1"/>
      <c r="J7" s="16" t="s">
        <v>1</v>
      </c>
      <c r="K7" s="149"/>
      <c r="L7" s="170"/>
      <c r="M7" s="8"/>
      <c r="N7" s="1"/>
    </row>
    <row r="8" spans="1:14" ht="15.75">
      <c r="A8" s="21"/>
      <c r="B8" s="141" t="s">
        <v>10</v>
      </c>
      <c r="C8" s="21"/>
      <c r="D8" s="21"/>
      <c r="E8" s="21"/>
      <c r="F8" s="21"/>
      <c r="G8" s="21"/>
      <c r="H8" s="21"/>
      <c r="I8" s="21"/>
      <c r="J8" s="297" t="s">
        <v>21</v>
      </c>
      <c r="K8" s="298"/>
      <c r="L8" s="299"/>
      <c r="M8" s="167" t="s">
        <v>8</v>
      </c>
      <c r="N8" s="21"/>
    </row>
    <row r="9" spans="1:14" s="143" customFormat="1" ht="15.75">
      <c r="A9" s="141" t="s">
        <v>9</v>
      </c>
      <c r="B9" s="33" t="s">
        <v>222</v>
      </c>
      <c r="C9" s="141"/>
      <c r="D9" s="141"/>
      <c r="E9" s="141"/>
      <c r="F9" s="141"/>
      <c r="G9" s="141"/>
      <c r="H9" s="141"/>
      <c r="I9" s="141"/>
      <c r="J9" s="185" t="s">
        <v>182</v>
      </c>
      <c r="K9" s="151" t="s">
        <v>183</v>
      </c>
      <c r="L9" s="141" t="s">
        <v>184</v>
      </c>
      <c r="M9" s="142"/>
      <c r="N9" s="141"/>
    </row>
    <row r="10" spans="1:14" ht="15.75">
      <c r="A10" s="1"/>
      <c r="C10" s="24"/>
      <c r="D10" s="24" t="s">
        <v>101</v>
      </c>
      <c r="E10" s="1" t="s">
        <v>12</v>
      </c>
      <c r="F10" s="41" t="s">
        <v>123</v>
      </c>
      <c r="G10" s="41" t="s">
        <v>13</v>
      </c>
      <c r="H10" s="1"/>
      <c r="I10" s="1"/>
      <c r="J10" s="186"/>
      <c r="K10" s="149"/>
      <c r="L10" s="139"/>
      <c r="M10" s="2">
        <f>IF(SUM(J10:L10)=0,"",SUM(J10:L10))</f>
      </c>
      <c r="N10" s="1"/>
    </row>
    <row r="11" spans="1:14" ht="15.75">
      <c r="A11" s="1"/>
      <c r="B11" s="1" t="s">
        <v>14</v>
      </c>
      <c r="C11" s="10" t="str">
        <f>D5</f>
        <v>name</v>
      </c>
      <c r="D11" s="136" t="s">
        <v>125</v>
      </c>
      <c r="E11" s="70">
        <v>0</v>
      </c>
      <c r="F11" s="95">
        <f aca="true" t="shared" si="0" ref="F11:F17">IF(D11="CAL",(52*E11/4.3333),(IF(D11="ACAD",(36.35*E11/4.33333),IF(D11="SUMR",(15.65*E11/4.33333),IF(D11="PT",(0),0)))))</f>
        <v>0</v>
      </c>
      <c r="G11" s="69">
        <v>0</v>
      </c>
      <c r="J11" s="183">
        <f>ROUND(G11*E11,0)</f>
        <v>0</v>
      </c>
      <c r="K11" s="152">
        <f>ROUND(J11*'RATES-Fed'!E38,0)</f>
        <v>0</v>
      </c>
      <c r="L11" s="67">
        <f>ROUND(K11+J11,0)</f>
        <v>0</v>
      </c>
      <c r="M11" s="42">
        <f>SUM(L11)</f>
        <v>0</v>
      </c>
      <c r="N11" s="1"/>
    </row>
    <row r="12" spans="1:14" ht="15.75">
      <c r="A12" s="1"/>
      <c r="B12" s="1" t="s">
        <v>14</v>
      </c>
      <c r="C12" s="3"/>
      <c r="D12" s="136" t="str">
        <f>IF(D11="ACAD",("SUMR"),"")</f>
        <v>SUMR</v>
      </c>
      <c r="E12" s="70">
        <v>0</v>
      </c>
      <c r="F12" s="95">
        <f t="shared" si="0"/>
        <v>0</v>
      </c>
      <c r="G12" s="69">
        <f>+G11*0.4375</f>
        <v>0</v>
      </c>
      <c r="J12" s="183">
        <f aca="true" t="shared" si="1" ref="J12:J17">ROUND(G12*E12,0)</f>
        <v>0</v>
      </c>
      <c r="K12" s="152">
        <f>ROUND(J12*'RATES-Fed'!E38,0)</f>
        <v>0</v>
      </c>
      <c r="L12" s="67">
        <f aca="true" t="shared" si="2" ref="L12:L17">ROUND(K12+J12,0)</f>
        <v>0</v>
      </c>
      <c r="M12" s="42">
        <f aca="true" t="shared" si="3" ref="M12:M17">SUM(L12)</f>
        <v>0</v>
      </c>
      <c r="N12" s="1"/>
    </row>
    <row r="13" spans="1:14" ht="15.75">
      <c r="A13" s="1"/>
      <c r="B13" s="1" t="s">
        <v>15</v>
      </c>
      <c r="C13" s="3"/>
      <c r="D13" s="136" t="s">
        <v>125</v>
      </c>
      <c r="E13" s="70">
        <v>0</v>
      </c>
      <c r="F13" s="95">
        <f t="shared" si="0"/>
        <v>0</v>
      </c>
      <c r="G13" s="69">
        <v>0</v>
      </c>
      <c r="J13" s="183">
        <f t="shared" si="1"/>
        <v>0</v>
      </c>
      <c r="K13" s="152">
        <f>ROUND(J13*'RATES-Fed'!E38,0)</f>
        <v>0</v>
      </c>
      <c r="L13" s="67">
        <f t="shared" si="2"/>
        <v>0</v>
      </c>
      <c r="M13" s="42">
        <f t="shared" si="3"/>
        <v>0</v>
      </c>
      <c r="N13" s="1"/>
    </row>
    <row r="14" spans="1:13" ht="15.75">
      <c r="A14" s="1"/>
      <c r="B14" s="1"/>
      <c r="C14" s="3"/>
      <c r="D14" s="136" t="str">
        <f>IF(D13="ACAD",("SUMR"),"")</f>
        <v>SUMR</v>
      </c>
      <c r="E14" s="70">
        <v>0</v>
      </c>
      <c r="F14" s="95">
        <f t="shared" si="0"/>
        <v>0</v>
      </c>
      <c r="G14" s="69">
        <f>+G13*0.4375</f>
        <v>0</v>
      </c>
      <c r="J14" s="183">
        <f t="shared" si="1"/>
        <v>0</v>
      </c>
      <c r="K14" s="152">
        <f>ROUND(J14*'RATES-Fed'!E38,0)</f>
        <v>0</v>
      </c>
      <c r="L14" s="67">
        <f t="shared" si="2"/>
        <v>0</v>
      </c>
      <c r="M14" s="42">
        <f t="shared" si="3"/>
        <v>0</v>
      </c>
    </row>
    <row r="15" spans="1:14" ht="15.75">
      <c r="A15" s="1"/>
      <c r="B15" s="1" t="s">
        <v>15</v>
      </c>
      <c r="C15" s="3"/>
      <c r="D15" s="136" t="s">
        <v>124</v>
      </c>
      <c r="E15" s="70">
        <v>0</v>
      </c>
      <c r="F15" s="95">
        <f t="shared" si="0"/>
        <v>0</v>
      </c>
      <c r="G15" s="69">
        <v>0</v>
      </c>
      <c r="J15" s="183">
        <f t="shared" si="1"/>
        <v>0</v>
      </c>
      <c r="K15" s="152">
        <f>ROUND(J15*'RATES-Fed'!E38,0)</f>
        <v>0</v>
      </c>
      <c r="L15" s="67">
        <f t="shared" si="2"/>
        <v>0</v>
      </c>
      <c r="M15" s="42">
        <f t="shared" si="3"/>
        <v>0</v>
      </c>
      <c r="N15" s="1"/>
    </row>
    <row r="16" spans="1:14" ht="15.75">
      <c r="A16" s="1"/>
      <c r="B16" s="1" t="s">
        <v>15</v>
      </c>
      <c r="C16" s="3"/>
      <c r="D16" s="136" t="s">
        <v>124</v>
      </c>
      <c r="E16" s="70">
        <v>0</v>
      </c>
      <c r="F16" s="95">
        <f t="shared" si="0"/>
        <v>0</v>
      </c>
      <c r="G16" s="69">
        <v>0</v>
      </c>
      <c r="J16" s="183">
        <f t="shared" si="1"/>
        <v>0</v>
      </c>
      <c r="K16" s="152">
        <f>ROUND(J16*'RATES-Fed'!E38,0)</f>
        <v>0</v>
      </c>
      <c r="L16" s="67">
        <f t="shared" si="2"/>
        <v>0</v>
      </c>
      <c r="M16" s="42">
        <f t="shared" si="3"/>
        <v>0</v>
      </c>
      <c r="N16" s="1"/>
    </row>
    <row r="17" spans="1:13" ht="15.75">
      <c r="A17" s="1"/>
      <c r="B17" s="1" t="s">
        <v>15</v>
      </c>
      <c r="C17" s="3"/>
      <c r="D17" s="136" t="s">
        <v>124</v>
      </c>
      <c r="E17" s="70">
        <v>0</v>
      </c>
      <c r="F17" s="95">
        <f t="shared" si="0"/>
        <v>0</v>
      </c>
      <c r="G17" s="69">
        <v>0</v>
      </c>
      <c r="J17" s="197">
        <f t="shared" si="1"/>
        <v>0</v>
      </c>
      <c r="K17" s="202">
        <f>ROUND(J17*'RATES-Fed'!E38,0)</f>
        <v>0</v>
      </c>
      <c r="L17" s="203">
        <f t="shared" si="2"/>
        <v>0</v>
      </c>
      <c r="M17" s="200">
        <f t="shared" si="3"/>
        <v>0</v>
      </c>
    </row>
    <row r="18" spans="1:14" ht="15.75">
      <c r="A18" s="1"/>
      <c r="B18" s="1"/>
      <c r="C18" s="265"/>
      <c r="D18" s="25" t="s">
        <v>223</v>
      </c>
      <c r="E18" s="26"/>
      <c r="F18" s="95"/>
      <c r="G18" s="1"/>
      <c r="H18" s="1"/>
      <c r="I18" s="1"/>
      <c r="J18" s="201">
        <f>SUM(J11:J17)</f>
        <v>0</v>
      </c>
      <c r="K18" s="153">
        <f>SUM(K11:K17)</f>
        <v>0</v>
      </c>
      <c r="L18" s="46">
        <f>SUM(L11:L17)</f>
        <v>0</v>
      </c>
      <c r="M18" s="42">
        <f>SUM(M11:M17)</f>
        <v>0</v>
      </c>
      <c r="N18" s="6"/>
    </row>
    <row r="19" spans="1:14" ht="15.75">
      <c r="A19" s="265" t="s">
        <v>219</v>
      </c>
      <c r="B19" s="21" t="s">
        <v>220</v>
      </c>
      <c r="C19" s="1"/>
      <c r="D19" s="25"/>
      <c r="E19" s="26"/>
      <c r="F19" s="26"/>
      <c r="G19" s="1"/>
      <c r="H19" s="1"/>
      <c r="I19" s="1"/>
      <c r="J19" s="201"/>
      <c r="K19" s="153"/>
      <c r="L19" s="46"/>
      <c r="M19" s="42"/>
      <c r="N19" s="6"/>
    </row>
    <row r="20" spans="1:14" ht="15.75">
      <c r="A20" s="1"/>
      <c r="B20" s="1" t="s">
        <v>15</v>
      </c>
      <c r="C20" s="3"/>
      <c r="D20" s="136" t="s">
        <v>124</v>
      </c>
      <c r="E20" s="70">
        <v>0</v>
      </c>
      <c r="F20" s="95">
        <f>IF(D20="CAL",(52*E20/4.3333),(IF(D20="ACAD",(32*E20/4.33333),IF(D20="SUMR",(14*E20/4.33333),IF(D20="PT",(0),0)))))</f>
        <v>0</v>
      </c>
      <c r="G20" s="69">
        <v>0</v>
      </c>
      <c r="J20" s="183">
        <f>ROUND(G20*E20,0)</f>
        <v>0</v>
      </c>
      <c r="K20" s="152">
        <f>ROUND(J20*'RATES-Fed'!E40,0)</f>
        <v>0</v>
      </c>
      <c r="L20" s="67">
        <f>ROUND(K20+J20,0)</f>
        <v>0</v>
      </c>
      <c r="M20" s="42">
        <f>SUM(L20)</f>
        <v>0</v>
      </c>
      <c r="N20" s="1"/>
    </row>
    <row r="21" spans="1:14" ht="15.75">
      <c r="A21" s="1"/>
      <c r="B21" s="1" t="s">
        <v>15</v>
      </c>
      <c r="C21" s="3"/>
      <c r="D21" s="136" t="s">
        <v>124</v>
      </c>
      <c r="E21" s="70">
        <v>0</v>
      </c>
      <c r="F21" s="95">
        <f>IF(D21="CAL",(52*E21/4.3333),(IF(D21="ACAD",(32*E21/4.33333),IF(D21="SUMR",(14*E21/4.33333),IF(D21="PT",(0),0)))))</f>
        <v>0</v>
      </c>
      <c r="G21" s="69">
        <v>0</v>
      </c>
      <c r="J21" s="183">
        <f>ROUND(G21*E21,0)</f>
        <v>0</v>
      </c>
      <c r="K21" s="152">
        <f>ROUND(J21*'RATES-Fed'!E40,0)</f>
        <v>0</v>
      </c>
      <c r="L21" s="67">
        <f>ROUND(K21+J21,0)</f>
        <v>0</v>
      </c>
      <c r="M21" s="42">
        <f>SUM(L21)</f>
        <v>0</v>
      </c>
      <c r="N21" s="1"/>
    </row>
    <row r="22" spans="1:14" ht="15.75">
      <c r="A22" s="1"/>
      <c r="B22" s="1" t="s">
        <v>15</v>
      </c>
      <c r="C22" s="3"/>
      <c r="D22" s="136" t="s">
        <v>124</v>
      </c>
      <c r="E22" s="70">
        <v>0</v>
      </c>
      <c r="F22" s="95">
        <f>IF(D22="CAL",(52*E22/4.3333),(IF(D22="ACAD",(32*E22/4.33333),IF(D22="SUMR",(14*E22/4.33333),IF(D22="PT",(0),0)))))</f>
        <v>0</v>
      </c>
      <c r="G22" s="69">
        <v>0</v>
      </c>
      <c r="J22" s="183">
        <f>ROUND(G22*E22,0)</f>
        <v>0</v>
      </c>
      <c r="K22" s="152">
        <f>ROUND(J22*'RATES-Fed'!E40,0)</f>
        <v>0</v>
      </c>
      <c r="L22" s="67">
        <f>ROUND(K22+J22,0)</f>
        <v>0</v>
      </c>
      <c r="M22" s="42">
        <f>SUM(L22)</f>
        <v>0</v>
      </c>
      <c r="N22" s="1"/>
    </row>
    <row r="23" spans="1:13" ht="15.75">
      <c r="A23" s="1"/>
      <c r="B23" s="1" t="s">
        <v>15</v>
      </c>
      <c r="C23" s="3"/>
      <c r="D23" s="136" t="s">
        <v>124</v>
      </c>
      <c r="E23" s="70">
        <v>0</v>
      </c>
      <c r="F23" s="95">
        <f>IF(D23="CAL",(52*E23/4.3333),(IF(D23="ACAD",(32*E23/4.33333),IF(D23="SUMR",(14*E23/4.33333),IF(D23="PT",(0),0)))))</f>
        <v>0</v>
      </c>
      <c r="G23" s="69">
        <v>0</v>
      </c>
      <c r="J23" s="197">
        <f>ROUND(G23*E23,0)</f>
        <v>0</v>
      </c>
      <c r="K23" s="202">
        <f>ROUND(J23*'RATES-Fed'!E40,0)</f>
        <v>0</v>
      </c>
      <c r="L23" s="203">
        <f>ROUND(K23+J23,0)</f>
        <v>0</v>
      </c>
      <c r="M23" s="200">
        <f>SUM(L23)</f>
        <v>0</v>
      </c>
    </row>
    <row r="24" spans="1:14" ht="15.75">
      <c r="A24" s="1"/>
      <c r="B24" s="1"/>
      <c r="C24" s="1"/>
      <c r="D24" s="25" t="s">
        <v>224</v>
      </c>
      <c r="E24" s="26"/>
      <c r="F24" s="26"/>
      <c r="G24" s="1"/>
      <c r="H24" s="1"/>
      <c r="I24" s="1"/>
      <c r="J24" s="201">
        <f>SUM(J20:J23)</f>
        <v>0</v>
      </c>
      <c r="K24" s="153">
        <f>SUM(K20:K23)</f>
        <v>0</v>
      </c>
      <c r="L24" s="46">
        <f>SUM(L20:L23)</f>
        <v>0</v>
      </c>
      <c r="M24" s="42">
        <f>SUM(M20:M23)</f>
        <v>0</v>
      </c>
      <c r="N24" s="6"/>
    </row>
    <row r="25" spans="1:14" ht="7.5" customHeight="1">
      <c r="A25" s="1"/>
      <c r="B25" s="1"/>
      <c r="C25" s="1"/>
      <c r="D25" s="26"/>
      <c r="E25" s="26"/>
      <c r="F25" s="26"/>
      <c r="G25" s="1"/>
      <c r="H25" s="1"/>
      <c r="I25" s="1"/>
      <c r="J25" s="188"/>
      <c r="K25" s="153"/>
      <c r="L25" s="46"/>
      <c r="M25" s="42"/>
      <c r="N25" s="6"/>
    </row>
    <row r="26" spans="1:14" ht="15.75">
      <c r="A26" s="22" t="s">
        <v>221</v>
      </c>
      <c r="B26" s="22" t="s">
        <v>17</v>
      </c>
      <c r="C26" s="1"/>
      <c r="D26" s="26"/>
      <c r="E26" s="1"/>
      <c r="F26" s="1"/>
      <c r="G26" s="41"/>
      <c r="H26" s="1"/>
      <c r="I26" s="1"/>
      <c r="J26" s="186"/>
      <c r="K26" s="149"/>
      <c r="L26" s="139"/>
      <c r="M26" s="42"/>
      <c r="N26" s="6"/>
    </row>
    <row r="27" spans="1:14" ht="15.75">
      <c r="A27" s="1"/>
      <c r="C27" s="13" t="s">
        <v>87</v>
      </c>
      <c r="D27" s="41" t="s">
        <v>121</v>
      </c>
      <c r="E27" s="68"/>
      <c r="F27" s="68"/>
      <c r="G27" s="59"/>
      <c r="J27" s="183"/>
      <c r="K27" s="154"/>
      <c r="L27" s="50"/>
      <c r="M27" s="42"/>
      <c r="N27" s="5"/>
    </row>
    <row r="28" spans="1:14" ht="15.75">
      <c r="A28" s="1"/>
      <c r="C28" s="13"/>
      <c r="D28" s="1"/>
      <c r="E28" s="70">
        <v>0</v>
      </c>
      <c r="F28" s="94">
        <f>SUM(52*E28/4.3333)</f>
        <v>0</v>
      </c>
      <c r="G28" s="69">
        <v>0</v>
      </c>
      <c r="J28" s="183">
        <f>ROUND(G28*E28,0)</f>
        <v>0</v>
      </c>
      <c r="K28" s="154">
        <f>ROUND(J28*'RATES-Fed'!E39,0)</f>
        <v>0</v>
      </c>
      <c r="L28" s="50">
        <f>SUM(J28:K28)</f>
        <v>0</v>
      </c>
      <c r="M28" s="42">
        <f>SUM(L28)</f>
        <v>0</v>
      </c>
      <c r="N28" s="5"/>
    </row>
    <row r="29" spans="1:14" ht="15.75">
      <c r="A29" s="1"/>
      <c r="C29" s="13"/>
      <c r="D29" s="1"/>
      <c r="E29" s="70">
        <v>0</v>
      </c>
      <c r="F29" s="94">
        <f>SUM(52*E29/4.3333)</f>
        <v>0</v>
      </c>
      <c r="G29" s="69">
        <v>0</v>
      </c>
      <c r="J29" s="183">
        <f>ROUND(G29*E29,0)</f>
        <v>0</v>
      </c>
      <c r="K29" s="154">
        <f>ROUND(J29*'RATES-Fed'!E39,0)</f>
        <v>0</v>
      </c>
      <c r="L29" s="50">
        <f>SUM(J29:K29)</f>
        <v>0</v>
      </c>
      <c r="M29" s="42">
        <f>SUM(L29)</f>
        <v>0</v>
      </c>
      <c r="N29" s="5"/>
    </row>
    <row r="30" spans="1:14" ht="15.75">
      <c r="A30" s="1"/>
      <c r="C30" s="13"/>
      <c r="D30" s="1"/>
      <c r="E30" s="70">
        <v>0</v>
      </c>
      <c r="F30" s="94">
        <f>SUM(52*E30/4.3333)</f>
        <v>0</v>
      </c>
      <c r="G30" s="69">
        <v>0</v>
      </c>
      <c r="J30" s="183">
        <f>ROUND(G30*E30,0)</f>
        <v>0</v>
      </c>
      <c r="K30" s="154">
        <f>ROUND(J30*'RATES-Fed'!E39,0)</f>
        <v>0</v>
      </c>
      <c r="L30" s="50">
        <f>SUM(J30:K30)</f>
        <v>0</v>
      </c>
      <c r="M30" s="42">
        <f>SUM(L30)</f>
        <v>0</v>
      </c>
      <c r="N30" s="5"/>
    </row>
    <row r="31" spans="1:14" ht="15.75">
      <c r="A31" s="1"/>
      <c r="C31" s="13"/>
      <c r="D31" s="1"/>
      <c r="E31" s="70">
        <v>0</v>
      </c>
      <c r="F31" s="94">
        <f>SUM(52*E31/4.3333)</f>
        <v>0</v>
      </c>
      <c r="G31" s="69">
        <v>0</v>
      </c>
      <c r="J31" s="197">
        <f>ROUND(G31*E31,0)</f>
        <v>0</v>
      </c>
      <c r="K31" s="198">
        <f>ROUND(J31*'RATES-Fed'!E39,0)</f>
        <v>0</v>
      </c>
      <c r="L31" s="199">
        <f>SUM(J31:K31)</f>
        <v>0</v>
      </c>
      <c r="M31" s="200">
        <f>SUM(L31)</f>
        <v>0</v>
      </c>
      <c r="N31" s="5"/>
    </row>
    <row r="32" spans="1:14" ht="15.75">
      <c r="A32" s="1"/>
      <c r="C32" s="13"/>
      <c r="D32" s="1" t="s">
        <v>122</v>
      </c>
      <c r="E32" s="70"/>
      <c r="F32" s="70"/>
      <c r="G32" s="69"/>
      <c r="J32" s="189">
        <f>SUM(J28:J31)</f>
        <v>0</v>
      </c>
      <c r="K32" s="154">
        <f>SUM(K28:K31)</f>
        <v>0</v>
      </c>
      <c r="L32" s="50">
        <f>SUM(L28:L31)</f>
        <v>0</v>
      </c>
      <c r="M32" s="42">
        <f>SUM(M28:M31)</f>
        <v>0</v>
      </c>
      <c r="N32" s="5"/>
    </row>
    <row r="33" spans="1:14" ht="9.75" customHeight="1">
      <c r="A33" s="1"/>
      <c r="C33" s="13"/>
      <c r="D33" s="1"/>
      <c r="E33" s="70"/>
      <c r="F33" s="70"/>
      <c r="G33" s="69"/>
      <c r="J33" s="189"/>
      <c r="K33" s="154"/>
      <c r="L33" s="50"/>
      <c r="M33" s="42"/>
      <c r="N33" s="5"/>
    </row>
    <row r="34" spans="1:14" ht="15.75">
      <c r="A34" s="1"/>
      <c r="C34" s="13" t="s">
        <v>88</v>
      </c>
      <c r="D34" s="1"/>
      <c r="E34" s="70">
        <v>0</v>
      </c>
      <c r="F34" s="94">
        <f>SUM(52*E34/4.3333)</f>
        <v>0</v>
      </c>
      <c r="G34" s="69">
        <v>0</v>
      </c>
      <c r="J34" s="183">
        <f>ROUND(G34*E34,0)</f>
        <v>0</v>
      </c>
      <c r="K34" s="154">
        <f>ROUND(J34*'RATES-Fed'!E43,0)</f>
        <v>0</v>
      </c>
      <c r="L34" s="50">
        <f>SUM(J34:K34)</f>
        <v>0</v>
      </c>
      <c r="M34" s="42">
        <f>SUM(L34)</f>
        <v>0</v>
      </c>
      <c r="N34" s="5"/>
    </row>
    <row r="35" spans="1:14" ht="15.75">
      <c r="A35" s="1"/>
      <c r="C35" s="13" t="s">
        <v>18</v>
      </c>
      <c r="D35" s="1"/>
      <c r="E35" s="70">
        <v>0</v>
      </c>
      <c r="F35" s="94">
        <f>SUM(52*E35/4.3333)</f>
        <v>0</v>
      </c>
      <c r="G35" s="69">
        <v>0</v>
      </c>
      <c r="J35" s="183">
        <f>ROUND(G35*E35,0)</f>
        <v>0</v>
      </c>
      <c r="K35" s="154">
        <f>ROUND(J35*'RATES-Fed'!E42,0)</f>
        <v>0</v>
      </c>
      <c r="L35" s="50">
        <f>SUM(J35:K35)</f>
        <v>0</v>
      </c>
      <c r="M35" s="42">
        <f>SUM(L35)</f>
        <v>0</v>
      </c>
      <c r="N35" s="5"/>
    </row>
    <row r="36" spans="1:14" ht="15.75">
      <c r="A36" s="1"/>
      <c r="C36" s="13" t="s">
        <v>19</v>
      </c>
      <c r="D36" s="1"/>
      <c r="E36" s="70">
        <v>0</v>
      </c>
      <c r="F36" s="94">
        <f>SUM(52*E36/4.3333)</f>
        <v>0</v>
      </c>
      <c r="G36" s="69">
        <v>0</v>
      </c>
      <c r="J36" s="183">
        <f>ROUND(G36*E36,0)</f>
        <v>0</v>
      </c>
      <c r="K36" s="154">
        <f>ROUND(J36*'RATES-Fed'!E42,0)</f>
        <v>0</v>
      </c>
      <c r="L36" s="50">
        <f>SUM(J36:K36)</f>
        <v>0</v>
      </c>
      <c r="M36" s="42">
        <f>SUM(L36)</f>
        <v>0</v>
      </c>
      <c r="N36" s="5"/>
    </row>
    <row r="37" spans="1:14" s="90" customFormat="1" ht="15.75">
      <c r="A37" s="139"/>
      <c r="C37" s="138" t="s">
        <v>20</v>
      </c>
      <c r="D37" s="139"/>
      <c r="E37" s="70">
        <v>0</v>
      </c>
      <c r="F37" s="94">
        <f>SUM(52*E37/4.3333)</f>
        <v>0</v>
      </c>
      <c r="G37" s="69">
        <v>0</v>
      </c>
      <c r="J37" s="183">
        <f>ROUND(G37*E37,0)</f>
        <v>0</v>
      </c>
      <c r="K37" s="154">
        <f>ROUND(J37*'RATES-Fed'!E43,0)</f>
        <v>0</v>
      </c>
      <c r="L37" s="50">
        <f>SUM(J37:K37)</f>
        <v>0</v>
      </c>
      <c r="M37" s="42">
        <f>SUM(L37)</f>
        <v>0</v>
      </c>
      <c r="N37" s="146"/>
    </row>
    <row r="38" spans="1:14" s="90" customFormat="1" ht="15.75">
      <c r="A38" s="139"/>
      <c r="C38" s="138" t="s">
        <v>89</v>
      </c>
      <c r="D38" s="139"/>
      <c r="E38" s="70">
        <v>0</v>
      </c>
      <c r="F38" s="94">
        <f>SUM(52*E38/4.3333)</f>
        <v>0</v>
      </c>
      <c r="G38" s="69">
        <v>0</v>
      </c>
      <c r="J38" s="197">
        <f>ROUND(G38*E38,0)</f>
        <v>0</v>
      </c>
      <c r="K38" s="198">
        <f>ROUND(J38*'RATES-Fed'!E41,0)</f>
        <v>0</v>
      </c>
      <c r="L38" s="199">
        <f>SUM(J38:K38)</f>
        <v>0</v>
      </c>
      <c r="M38" s="200">
        <f>SUM(L38)</f>
        <v>0</v>
      </c>
      <c r="N38" s="146"/>
    </row>
    <row r="39" spans="1:14" ht="15.75">
      <c r="A39" s="1"/>
      <c r="B39" s="1"/>
      <c r="C39" s="1"/>
      <c r="D39" s="184" t="s">
        <v>185</v>
      </c>
      <c r="E39" s="26"/>
      <c r="F39" s="26"/>
      <c r="G39" s="1"/>
      <c r="H39" s="1"/>
      <c r="I39" s="1"/>
      <c r="J39" s="204">
        <f>SUM(J18+J24+J32+J34+J35+J36+J37+J38)</f>
        <v>0</v>
      </c>
      <c r="K39" s="154">
        <f>SUM(K18+K24+K32+K34+K35+K36+K37+K38)</f>
        <v>0</v>
      </c>
      <c r="L39" s="50">
        <f>SUM(L34:L38)</f>
        <v>0</v>
      </c>
      <c r="M39" s="42">
        <f>SUM(M34:M38)</f>
        <v>0</v>
      </c>
      <c r="N39" s="5"/>
    </row>
    <row r="40" spans="1:14" ht="7.5" customHeight="1">
      <c r="A40" s="1"/>
      <c r="B40" s="1"/>
      <c r="C40" s="1"/>
      <c r="D40" s="26"/>
      <c r="E40" s="26"/>
      <c r="F40" s="26"/>
      <c r="G40" s="26"/>
      <c r="H40" s="26"/>
      <c r="I40" s="26"/>
      <c r="J40" s="52"/>
      <c r="K40" s="153"/>
      <c r="L40" s="172"/>
      <c r="M40" s="64" t="s">
        <v>1</v>
      </c>
      <c r="N40" s="6"/>
    </row>
    <row r="41" spans="1:14" s="31" customFormat="1" ht="15.75">
      <c r="A41" s="40" t="s">
        <v>23</v>
      </c>
      <c r="B41" s="21"/>
      <c r="D41" s="28"/>
      <c r="E41" s="28"/>
      <c r="F41" s="28"/>
      <c r="G41" s="28"/>
      <c r="H41" s="28"/>
      <c r="I41" s="28"/>
      <c r="J41" s="47">
        <f>SUM(J39+K39)</f>
        <v>0</v>
      </c>
      <c r="K41" s="155"/>
      <c r="L41" s="174"/>
      <c r="M41" s="47">
        <f>SUM(J41)</f>
        <v>0</v>
      </c>
      <c r="N41" s="29"/>
    </row>
    <row r="42" spans="1:14" ht="8.25" customHeight="1">
      <c r="A42" s="1"/>
      <c r="B42" s="1"/>
      <c r="C42" s="28"/>
      <c r="D42" s="26"/>
      <c r="E42" s="26"/>
      <c r="F42" s="26"/>
      <c r="G42" s="26"/>
      <c r="H42" s="26"/>
      <c r="I42" s="26"/>
      <c r="J42" s="52"/>
      <c r="K42" s="153"/>
      <c r="L42" s="172"/>
      <c r="M42" s="46" t="s">
        <v>1</v>
      </c>
      <c r="N42" s="6"/>
    </row>
    <row r="43" spans="1:14" ht="15.75">
      <c r="A43" s="22" t="s">
        <v>24</v>
      </c>
      <c r="B43" s="22" t="s">
        <v>25</v>
      </c>
      <c r="C43" s="21"/>
      <c r="D43" s="26"/>
      <c r="E43" s="26"/>
      <c r="F43" s="26"/>
      <c r="G43" s="26"/>
      <c r="H43" s="26"/>
      <c r="I43" s="26"/>
      <c r="J43" s="52"/>
      <c r="K43" s="153"/>
      <c r="L43" s="172"/>
      <c r="M43" s="50" t="s">
        <v>1</v>
      </c>
      <c r="N43" s="6"/>
    </row>
    <row r="44" spans="1:14" ht="15.75">
      <c r="A44" s="21"/>
      <c r="B44" s="21"/>
      <c r="C44" s="10" t="s">
        <v>26</v>
      </c>
      <c r="D44" s="30"/>
      <c r="E44" s="30"/>
      <c r="F44" s="30"/>
      <c r="G44" s="30"/>
      <c r="H44" s="30"/>
      <c r="I44" s="30"/>
      <c r="J44" s="42">
        <v>0</v>
      </c>
      <c r="K44" s="153"/>
      <c r="L44" s="172"/>
      <c r="M44" s="42">
        <f>SUM(J44:L44)</f>
        <v>0</v>
      </c>
      <c r="N44" s="6"/>
    </row>
    <row r="45" spans="1:14" ht="15.75">
      <c r="A45" s="21"/>
      <c r="B45" s="21"/>
      <c r="C45" s="10" t="s">
        <v>26</v>
      </c>
      <c r="D45" s="30"/>
      <c r="E45" s="30"/>
      <c r="F45" s="30"/>
      <c r="G45" s="30"/>
      <c r="H45" s="30"/>
      <c r="I45" s="30"/>
      <c r="J45" s="42">
        <v>0</v>
      </c>
      <c r="K45" s="153"/>
      <c r="L45" s="172"/>
      <c r="M45" s="42">
        <f>SUM(J45:L45)</f>
        <v>0</v>
      </c>
      <c r="N45" s="6"/>
    </row>
    <row r="46" spans="1:14" ht="15.75">
      <c r="A46" s="21"/>
      <c r="B46" s="21"/>
      <c r="C46" s="27" t="s">
        <v>27</v>
      </c>
      <c r="D46" s="28"/>
      <c r="E46" s="28"/>
      <c r="F46" s="28"/>
      <c r="G46" s="28"/>
      <c r="H46" s="28"/>
      <c r="I46" s="28"/>
      <c r="J46" s="53">
        <f>SUM(J44:J45)</f>
        <v>0</v>
      </c>
      <c r="K46" s="156"/>
      <c r="L46" s="175"/>
      <c r="M46" s="53">
        <f>SUM(J46:L46)</f>
        <v>0</v>
      </c>
      <c r="N46" s="29"/>
    </row>
    <row r="47" spans="1:14" ht="9" customHeight="1">
      <c r="A47" s="1"/>
      <c r="B47" s="1"/>
      <c r="C47" s="28"/>
      <c r="D47" s="26"/>
      <c r="E47" s="26"/>
      <c r="F47" s="26"/>
      <c r="G47" s="26"/>
      <c r="H47" s="26"/>
      <c r="I47" s="26"/>
      <c r="J47" s="52"/>
      <c r="K47" s="153"/>
      <c r="L47" s="172"/>
      <c r="M47" s="46"/>
      <c r="N47" s="6"/>
    </row>
    <row r="48" spans="1:14" ht="15.75">
      <c r="A48" s="22" t="s">
        <v>28</v>
      </c>
      <c r="B48" s="22" t="s">
        <v>29</v>
      </c>
      <c r="C48" s="1"/>
      <c r="D48" s="21"/>
      <c r="E48" s="21"/>
      <c r="F48" s="21"/>
      <c r="G48" s="1"/>
      <c r="H48" s="1"/>
      <c r="I48" s="1"/>
      <c r="J48" s="54" t="s">
        <v>1</v>
      </c>
      <c r="K48" s="154"/>
      <c r="L48" s="173"/>
      <c r="M48" s="45"/>
      <c r="N48" s="5"/>
    </row>
    <row r="49" spans="1:14" ht="15.75">
      <c r="A49" s="21"/>
      <c r="B49" s="21"/>
      <c r="C49" s="13" t="s">
        <v>30</v>
      </c>
      <c r="D49" s="10" t="s">
        <v>26</v>
      </c>
      <c r="E49" s="31"/>
      <c r="F49" s="31"/>
      <c r="J49" s="42">
        <v>0</v>
      </c>
      <c r="K49" s="154"/>
      <c r="L49" s="173"/>
      <c r="M49" s="42">
        <f>SUM(J49:L49)</f>
        <v>0</v>
      </c>
      <c r="N49" s="5"/>
    </row>
    <row r="50" spans="1:14" ht="15.75">
      <c r="A50" s="21"/>
      <c r="B50" s="21"/>
      <c r="C50" s="13" t="s">
        <v>31</v>
      </c>
      <c r="D50" s="10" t="s">
        <v>26</v>
      </c>
      <c r="E50" s="31"/>
      <c r="F50" s="31"/>
      <c r="J50" s="42">
        <v>0</v>
      </c>
      <c r="K50" s="154"/>
      <c r="L50" s="173"/>
      <c r="M50" s="42">
        <f>SUM(J50:L50)</f>
        <v>0</v>
      </c>
      <c r="N50" s="5"/>
    </row>
    <row r="51" spans="1:14" s="31" customFormat="1" ht="15.75">
      <c r="A51" s="21"/>
      <c r="B51" s="21"/>
      <c r="C51" s="27" t="s">
        <v>32</v>
      </c>
      <c r="D51" s="28"/>
      <c r="E51" s="28"/>
      <c r="F51" s="28"/>
      <c r="G51" s="28"/>
      <c r="H51" s="28"/>
      <c r="I51" s="28"/>
      <c r="J51" s="53">
        <f>SUM(J49:J50)</f>
        <v>0</v>
      </c>
      <c r="K51" s="156"/>
      <c r="L51" s="175"/>
      <c r="M51" s="55">
        <f>SUM(J51:L51)</f>
        <v>0</v>
      </c>
      <c r="N51" s="29"/>
    </row>
    <row r="52" spans="1:14" s="31" customFormat="1" ht="9" customHeight="1">
      <c r="A52" s="21"/>
      <c r="B52" s="21"/>
      <c r="C52" s="27"/>
      <c r="D52" s="28"/>
      <c r="E52" s="28"/>
      <c r="F52" s="28"/>
      <c r="G52" s="28"/>
      <c r="H52" s="28"/>
      <c r="I52" s="28"/>
      <c r="J52" s="61"/>
      <c r="K52" s="156"/>
      <c r="L52" s="175"/>
      <c r="M52" s="280"/>
      <c r="N52" s="29"/>
    </row>
    <row r="53" spans="1:14" s="31" customFormat="1" ht="15.75">
      <c r="A53" s="21" t="s">
        <v>229</v>
      </c>
      <c r="B53" s="21" t="s">
        <v>230</v>
      </c>
      <c r="C53" s="27"/>
      <c r="D53" s="28"/>
      <c r="E53" s="28"/>
      <c r="F53" s="28"/>
      <c r="G53" s="28"/>
      <c r="H53" s="28"/>
      <c r="I53" s="28"/>
      <c r="J53" s="61"/>
      <c r="K53" s="156"/>
      <c r="L53" s="175"/>
      <c r="M53" s="280"/>
      <c r="N53" s="29"/>
    </row>
    <row r="54" spans="1:14" s="31" customFormat="1" ht="15.75">
      <c r="A54" s="21"/>
      <c r="B54" s="21"/>
      <c r="C54" s="283" t="s">
        <v>231</v>
      </c>
      <c r="D54" s="28"/>
      <c r="E54" s="28"/>
      <c r="F54" s="28"/>
      <c r="G54" s="28"/>
      <c r="H54" s="28"/>
      <c r="I54" s="28"/>
      <c r="J54" s="61">
        <v>0</v>
      </c>
      <c r="K54" s="156"/>
      <c r="L54" s="175"/>
      <c r="M54" s="280">
        <f>SUM(J54:L54)</f>
        <v>0</v>
      </c>
      <c r="N54" s="29"/>
    </row>
    <row r="55" spans="1:14" s="31" customFormat="1" ht="15.75">
      <c r="A55" s="21"/>
      <c r="B55" s="21"/>
      <c r="C55" s="283" t="s">
        <v>232</v>
      </c>
      <c r="D55" s="28"/>
      <c r="E55" s="28"/>
      <c r="F55" s="28"/>
      <c r="G55" s="28"/>
      <c r="H55" s="28"/>
      <c r="I55" s="28"/>
      <c r="J55" s="61">
        <v>0</v>
      </c>
      <c r="K55" s="156"/>
      <c r="L55" s="175"/>
      <c r="M55" s="280">
        <f>SUM(J55:L55)</f>
        <v>0</v>
      </c>
      <c r="N55" s="29"/>
    </row>
    <row r="56" spans="1:14" s="31" customFormat="1" ht="15.75">
      <c r="A56" s="21"/>
      <c r="B56" s="21"/>
      <c r="C56" s="283" t="s">
        <v>233</v>
      </c>
      <c r="D56" s="28"/>
      <c r="E56" s="28"/>
      <c r="F56" s="28"/>
      <c r="G56" s="28"/>
      <c r="H56" s="28"/>
      <c r="I56" s="28"/>
      <c r="J56" s="61">
        <v>0</v>
      </c>
      <c r="K56" s="156"/>
      <c r="L56" s="175"/>
      <c r="M56" s="280">
        <f>SUM(J56:L56)</f>
        <v>0</v>
      </c>
      <c r="N56" s="29"/>
    </row>
    <row r="57" spans="1:14" s="31" customFormat="1" ht="15.75">
      <c r="A57" s="21"/>
      <c r="B57" s="21"/>
      <c r="C57" s="283" t="s">
        <v>234</v>
      </c>
      <c r="D57" s="28"/>
      <c r="E57" s="28"/>
      <c r="F57" s="28"/>
      <c r="G57" s="28"/>
      <c r="H57" s="28"/>
      <c r="I57" s="28"/>
      <c r="J57" s="281">
        <v>0</v>
      </c>
      <c r="K57" s="156"/>
      <c r="L57" s="175"/>
      <c r="M57" s="282">
        <f>SUM(J57:L57)</f>
        <v>0</v>
      </c>
      <c r="N57" s="29"/>
    </row>
    <row r="58" spans="1:14" ht="15.75">
      <c r="A58" s="1"/>
      <c r="B58" s="1"/>
      <c r="C58" s="27" t="s">
        <v>235</v>
      </c>
      <c r="D58" s="26"/>
      <c r="E58" s="26"/>
      <c r="F58" s="26"/>
      <c r="G58" s="26"/>
      <c r="H58" s="26"/>
      <c r="I58" s="26"/>
      <c r="J58" s="52">
        <f>SUM(J54:J57)</f>
        <v>0</v>
      </c>
      <c r="K58" s="153"/>
      <c r="L58" s="172"/>
      <c r="M58" s="280">
        <f>SUM(J58:L58)</f>
        <v>0</v>
      </c>
      <c r="N58" s="6"/>
    </row>
    <row r="59" spans="1:14" ht="10.5" customHeight="1">
      <c r="A59" s="1"/>
      <c r="B59" s="1"/>
      <c r="C59" s="27"/>
      <c r="D59" s="26"/>
      <c r="E59" s="26"/>
      <c r="F59" s="26"/>
      <c r="G59" s="26"/>
      <c r="H59" s="26"/>
      <c r="I59" s="26"/>
      <c r="J59" s="52"/>
      <c r="K59" s="153"/>
      <c r="L59" s="172"/>
      <c r="M59" s="280"/>
      <c r="N59" s="6"/>
    </row>
    <row r="60" spans="1:14" ht="15.75">
      <c r="A60" s="22" t="s">
        <v>33</v>
      </c>
      <c r="B60" s="22" t="s">
        <v>34</v>
      </c>
      <c r="C60" s="21"/>
      <c r="D60" s="21"/>
      <c r="E60" s="21"/>
      <c r="F60" s="21"/>
      <c r="G60" s="1"/>
      <c r="H60" s="1"/>
      <c r="I60" s="1"/>
      <c r="J60" s="54" t="s">
        <v>1</v>
      </c>
      <c r="K60" s="154"/>
      <c r="L60" s="173"/>
      <c r="M60" s="42"/>
      <c r="N60" s="5"/>
    </row>
    <row r="61" spans="1:14" ht="15.75">
      <c r="A61" s="21"/>
      <c r="B61" s="21"/>
      <c r="C61" s="13" t="s">
        <v>35</v>
      </c>
      <c r="D61" s="3"/>
      <c r="E61" s="31"/>
      <c r="F61" s="31"/>
      <c r="J61" s="42">
        <v>0</v>
      </c>
      <c r="K61" s="154"/>
      <c r="L61" s="173"/>
      <c r="M61" s="42">
        <f aca="true" t="shared" si="4" ref="M61:M72">SUM(J61:L61)</f>
        <v>0</v>
      </c>
      <c r="N61" s="5"/>
    </row>
    <row r="62" spans="1:14" ht="15.75">
      <c r="A62" s="21"/>
      <c r="B62" s="21"/>
      <c r="C62" s="13" t="s">
        <v>190</v>
      </c>
      <c r="D62" s="3"/>
      <c r="E62" s="31"/>
      <c r="F62" s="31"/>
      <c r="J62" s="42">
        <v>0</v>
      </c>
      <c r="K62" s="154"/>
      <c r="L62" s="173"/>
      <c r="M62" s="42">
        <f t="shared" si="4"/>
        <v>0</v>
      </c>
      <c r="N62" s="5"/>
    </row>
    <row r="63" spans="1:14" ht="15.75">
      <c r="A63" s="21"/>
      <c r="B63" s="21"/>
      <c r="C63" s="13" t="s">
        <v>37</v>
      </c>
      <c r="D63" s="3"/>
      <c r="E63" s="31"/>
      <c r="F63" s="31"/>
      <c r="J63" s="42">
        <v>0</v>
      </c>
      <c r="K63" s="154"/>
      <c r="L63" s="173"/>
      <c r="M63" s="42">
        <f t="shared" si="4"/>
        <v>0</v>
      </c>
      <c r="N63" s="5"/>
    </row>
    <row r="64" spans="1:14" ht="15.75">
      <c r="A64" s="21"/>
      <c r="B64" s="21"/>
      <c r="C64" s="13" t="s">
        <v>38</v>
      </c>
      <c r="D64" s="3"/>
      <c r="E64" s="31"/>
      <c r="F64" s="31"/>
      <c r="J64" s="42">
        <v>0</v>
      </c>
      <c r="K64" s="154"/>
      <c r="L64" s="173"/>
      <c r="M64" s="42">
        <f t="shared" si="4"/>
        <v>0</v>
      </c>
      <c r="N64" s="5"/>
    </row>
    <row r="65" spans="1:14" ht="15.75">
      <c r="A65" s="21"/>
      <c r="B65" s="21"/>
      <c r="C65" s="227" t="s">
        <v>102</v>
      </c>
      <c r="D65" s="3"/>
      <c r="E65" s="31"/>
      <c r="F65" s="31"/>
      <c r="J65" s="42">
        <v>0</v>
      </c>
      <c r="K65" s="154"/>
      <c r="L65" s="173"/>
      <c r="M65" s="42">
        <f t="shared" si="4"/>
        <v>0</v>
      </c>
      <c r="N65" s="5"/>
    </row>
    <row r="66" spans="1:14" ht="15.75">
      <c r="A66" s="21"/>
      <c r="B66" s="21"/>
      <c r="C66" s="13" t="s">
        <v>236</v>
      </c>
      <c r="D66" s="3"/>
      <c r="E66" s="31"/>
      <c r="F66" s="31"/>
      <c r="J66" s="42">
        <v>0</v>
      </c>
      <c r="K66" s="154"/>
      <c r="L66" s="173"/>
      <c r="M66" s="42">
        <f t="shared" si="4"/>
        <v>0</v>
      </c>
      <c r="N66" s="5"/>
    </row>
    <row r="67" spans="1:14" ht="15.75">
      <c r="A67" s="21"/>
      <c r="B67" s="21"/>
      <c r="C67" s="13" t="s">
        <v>39</v>
      </c>
      <c r="D67" s="21"/>
      <c r="E67" s="21"/>
      <c r="F67" s="21"/>
      <c r="G67" s="1"/>
      <c r="H67" s="1"/>
      <c r="I67" s="1"/>
      <c r="J67" s="42">
        <v>0</v>
      </c>
      <c r="K67" s="154"/>
      <c r="L67" s="173"/>
      <c r="M67" s="42">
        <f t="shared" si="4"/>
        <v>0</v>
      </c>
      <c r="N67" s="5"/>
    </row>
    <row r="68" spans="1:15" ht="15.75">
      <c r="A68" s="21"/>
      <c r="B68" s="21"/>
      <c r="C68" s="22" t="s">
        <v>40</v>
      </c>
      <c r="D68" s="10"/>
      <c r="E68" s="31"/>
      <c r="F68" s="31"/>
      <c r="J68" s="42">
        <v>0</v>
      </c>
      <c r="K68" s="154"/>
      <c r="L68" s="173"/>
      <c r="M68" s="42">
        <f t="shared" si="4"/>
        <v>0</v>
      </c>
      <c r="N68" s="5"/>
      <c r="O68" s="76"/>
    </row>
    <row r="69" spans="1:15" ht="15.75">
      <c r="A69" s="21"/>
      <c r="B69" s="21"/>
      <c r="C69" s="63" t="s">
        <v>41</v>
      </c>
      <c r="D69" s="10"/>
      <c r="E69" s="31"/>
      <c r="F69" s="31"/>
      <c r="J69" s="42">
        <v>0</v>
      </c>
      <c r="K69" s="154"/>
      <c r="L69" s="173"/>
      <c r="M69" s="42">
        <f t="shared" si="4"/>
        <v>0</v>
      </c>
      <c r="N69" s="5"/>
      <c r="O69" s="76"/>
    </row>
    <row r="70" spans="1:15" ht="15.75">
      <c r="A70" s="21"/>
      <c r="B70" s="21"/>
      <c r="C70" s="63" t="s">
        <v>94</v>
      </c>
      <c r="D70" s="10"/>
      <c r="E70" s="31"/>
      <c r="F70" s="31"/>
      <c r="J70" s="42">
        <v>0</v>
      </c>
      <c r="K70" s="154"/>
      <c r="L70" s="173"/>
      <c r="M70" s="42">
        <f t="shared" si="4"/>
        <v>0</v>
      </c>
      <c r="N70" s="5"/>
      <c r="O70" s="76"/>
    </row>
    <row r="71" spans="1:15" ht="15">
      <c r="A71" s="21"/>
      <c r="B71" s="21"/>
      <c r="C71" s="63" t="s">
        <v>95</v>
      </c>
      <c r="D71" s="10"/>
      <c r="E71" s="31"/>
      <c r="F71" s="31"/>
      <c r="J71" s="42">
        <v>0</v>
      </c>
      <c r="K71" s="154"/>
      <c r="L71" s="173"/>
      <c r="M71" s="42">
        <f t="shared" si="4"/>
        <v>0</v>
      </c>
      <c r="N71" s="5"/>
      <c r="O71" s="76"/>
    </row>
    <row r="72" spans="1:15" ht="15">
      <c r="A72" s="40" t="s">
        <v>42</v>
      </c>
      <c r="D72" s="28"/>
      <c r="E72" s="28"/>
      <c r="F72" s="28"/>
      <c r="G72" s="28"/>
      <c r="H72" s="28"/>
      <c r="I72" s="28"/>
      <c r="J72" s="51">
        <f>SUM(J61:J71)</f>
        <v>0</v>
      </c>
      <c r="K72" s="157"/>
      <c r="L72" s="176"/>
      <c r="M72" s="43">
        <f t="shared" si="4"/>
        <v>0</v>
      </c>
      <c r="N72" s="34"/>
      <c r="O72" s="76"/>
    </row>
    <row r="73" spans="1:14" ht="7.5" customHeight="1">
      <c r="A73" s="21"/>
      <c r="B73" s="21"/>
      <c r="C73" s="26"/>
      <c r="D73" s="28"/>
      <c r="E73" s="28"/>
      <c r="F73" s="28"/>
      <c r="G73" s="26"/>
      <c r="H73" s="26"/>
      <c r="I73" s="26"/>
      <c r="J73" s="52"/>
      <c r="K73" s="153"/>
      <c r="L73" s="172"/>
      <c r="M73" s="46" t="s">
        <v>1</v>
      </c>
      <c r="N73" s="6"/>
    </row>
    <row r="74" spans="1:14" ht="16.5">
      <c r="A74" s="28"/>
      <c r="B74" s="28"/>
      <c r="C74" s="28"/>
      <c r="D74" s="21"/>
      <c r="E74" s="32" t="s">
        <v>43</v>
      </c>
      <c r="F74" s="32"/>
      <c r="G74" s="39"/>
      <c r="H74" s="39"/>
      <c r="I74" s="39"/>
      <c r="J74" s="65">
        <f>ROUND(+J72+J51+J46+J41+J58,0)</f>
        <v>0</v>
      </c>
      <c r="K74" s="158"/>
      <c r="L74" s="177"/>
      <c r="M74" s="65">
        <f>SUM(J74:L74)</f>
        <v>0</v>
      </c>
      <c r="N74" s="34"/>
    </row>
    <row r="75" spans="1:13" ht="7.5" customHeight="1">
      <c r="A75" s="28"/>
      <c r="B75" s="28"/>
      <c r="C75" s="28"/>
      <c r="D75" s="21"/>
      <c r="E75" s="32"/>
      <c r="F75" s="32"/>
      <c r="G75" s="39"/>
      <c r="H75" s="39"/>
      <c r="I75" s="39"/>
      <c r="J75" s="66"/>
      <c r="K75" s="158"/>
      <c r="L75" s="177"/>
      <c r="M75" s="65"/>
    </row>
    <row r="76" spans="1:15" ht="15">
      <c r="A76" s="28"/>
      <c r="B76" s="28"/>
      <c r="C76" s="28"/>
      <c r="D76" s="21"/>
      <c r="G76" s="39"/>
      <c r="H76" s="92" t="s">
        <v>117</v>
      </c>
      <c r="I76" s="39"/>
      <c r="J76" s="74">
        <f>(IF((J68)&gt;25000,(25000),J68)+((IF((J69)&gt;25000,(25000),J69))+((IF((J70)&gt;25000,(25000),J70))+((IF((J71)&gt;25000,(25000),J71))+SUM(J74-J46-J65-J68-J69-J70-J71-J58)))))</f>
        <v>0</v>
      </c>
      <c r="K76" s="159"/>
      <c r="L76" s="178"/>
      <c r="M76" s="74">
        <f>SUM(J76:L76)</f>
        <v>0</v>
      </c>
      <c r="O76" s="76"/>
    </row>
    <row r="77" spans="1:16" ht="15">
      <c r="A77" s="33" t="s">
        <v>116</v>
      </c>
      <c r="B77" s="1"/>
      <c r="C77" s="1"/>
      <c r="J77" s="42"/>
      <c r="K77" s="160"/>
      <c r="L77" s="179"/>
      <c r="M77" s="50"/>
      <c r="N77" s="5"/>
      <c r="P77" s="75"/>
    </row>
    <row r="78" spans="1:14" ht="15">
      <c r="A78" s="13" t="s">
        <v>119</v>
      </c>
      <c r="B78" s="1"/>
      <c r="D78" s="7">
        <f>IF(AND(($E$89)="R",($E$91)="C"),('RATES-Fed'!E46),IF(AND(($E$89)="R",($E$91)="O"),('RATES-Fed'!E51),IF(AND(($E$89)="I",($E$91)="C"),('RATES-Fed'!E47),IF(AND(($E$89)="I",($E$91)="O"),('RATES-Fed'!E52),IF(AND(($E$89)="P",($E$91)="C"),('RATES-Fed'!E48),IF(AND(($E$89)="P",($E$91)="O"),('RATES-Fed'!E53),($E$90)))))))</f>
        <v>0.6175</v>
      </c>
      <c r="E78" s="7"/>
      <c r="F78" s="7"/>
      <c r="G78" s="7"/>
      <c r="H78" s="7"/>
      <c r="J78" s="50">
        <f>ROUND(+D78*(J74-J46-J68-J69-J70-J71-J65-J58),0)</f>
        <v>0</v>
      </c>
      <c r="K78" s="154"/>
      <c r="L78" s="173"/>
      <c r="M78" s="50">
        <f aca="true" t="shared" si="5" ref="M78:M83">SUM(J78:L78)</f>
        <v>0</v>
      </c>
      <c r="N78" s="5"/>
    </row>
    <row r="79" spans="1:14" ht="15">
      <c r="A79" s="13" t="s">
        <v>44</v>
      </c>
      <c r="D79" s="7">
        <f>+D78</f>
        <v>0.6175</v>
      </c>
      <c r="E79" s="7"/>
      <c r="F79" s="7"/>
      <c r="G79" s="7"/>
      <c r="H79" s="7"/>
      <c r="J79" s="50">
        <f>(IF((J68)&gt;25000,(25000),J68)*D79)</f>
        <v>0</v>
      </c>
      <c r="K79" s="154"/>
      <c r="L79" s="173"/>
      <c r="M79" s="50">
        <f t="shared" si="5"/>
        <v>0</v>
      </c>
      <c r="N79" s="5"/>
    </row>
    <row r="80" spans="1:14" ht="15">
      <c r="A80" s="13" t="s">
        <v>45</v>
      </c>
      <c r="D80" s="7">
        <f>+D79</f>
        <v>0.6175</v>
      </c>
      <c r="E80" s="7"/>
      <c r="F80" s="7"/>
      <c r="G80" s="7"/>
      <c r="H80" s="7"/>
      <c r="J80" s="50">
        <f>(IF((J69)&gt;25000,(25000),J69)*D80)</f>
        <v>0</v>
      </c>
      <c r="K80" s="154"/>
      <c r="L80" s="173"/>
      <c r="M80" s="50">
        <f t="shared" si="5"/>
        <v>0</v>
      </c>
      <c r="N80" s="5"/>
    </row>
    <row r="81" spans="1:14" ht="15">
      <c r="A81" s="13" t="s">
        <v>92</v>
      </c>
      <c r="D81" s="7">
        <f>+D80</f>
        <v>0.6175</v>
      </c>
      <c r="E81" s="7"/>
      <c r="F81" s="7"/>
      <c r="G81" s="7"/>
      <c r="H81" s="7"/>
      <c r="J81" s="50">
        <f>(IF((J70)&gt;25000,(25000),J70)*D81)</f>
        <v>0</v>
      </c>
      <c r="K81" s="154"/>
      <c r="L81" s="173"/>
      <c r="M81" s="50">
        <f t="shared" si="5"/>
        <v>0</v>
      </c>
      <c r="N81" s="5"/>
    </row>
    <row r="82" spans="1:14" ht="15">
      <c r="A82" s="13" t="s">
        <v>93</v>
      </c>
      <c r="B82" s="1"/>
      <c r="C82" s="1"/>
      <c r="D82" s="7">
        <f>+D79</f>
        <v>0.6175</v>
      </c>
      <c r="E82" s="7"/>
      <c r="F82" s="7"/>
      <c r="G82" s="7"/>
      <c r="H82" s="7"/>
      <c r="J82" s="50">
        <f>(IF((J71)&gt;25000,(25000),J71)*D82)</f>
        <v>0</v>
      </c>
      <c r="K82" s="154"/>
      <c r="L82" s="173"/>
      <c r="M82" s="50">
        <f t="shared" si="5"/>
        <v>0</v>
      </c>
      <c r="N82" s="5"/>
    </row>
    <row r="83" spans="1:14" ht="15">
      <c r="A83" s="40" t="s">
        <v>118</v>
      </c>
      <c r="B83" s="1"/>
      <c r="C83" s="24"/>
      <c r="D83" s="35"/>
      <c r="E83" s="7"/>
      <c r="F83" s="7"/>
      <c r="G83" s="7"/>
      <c r="H83" s="7"/>
      <c r="I83" s="7"/>
      <c r="J83" s="53">
        <f>SUM(J78:J82)</f>
        <v>0</v>
      </c>
      <c r="K83" s="157"/>
      <c r="L83" s="176"/>
      <c r="M83" s="53">
        <f t="shared" si="5"/>
        <v>0</v>
      </c>
      <c r="N83" s="5"/>
    </row>
    <row r="84" spans="1:14" ht="6.75" customHeight="1">
      <c r="A84" s="40"/>
      <c r="B84" s="1"/>
      <c r="C84" s="24"/>
      <c r="D84" s="35"/>
      <c r="E84" s="7"/>
      <c r="F84" s="7"/>
      <c r="G84" s="7"/>
      <c r="H84" s="7"/>
      <c r="I84" s="7"/>
      <c r="J84" s="61"/>
      <c r="K84" s="157"/>
      <c r="L84" s="176"/>
      <c r="M84" s="62"/>
      <c r="N84" s="5"/>
    </row>
    <row r="85" spans="1:14" ht="18" thickBot="1">
      <c r="A85" s="40"/>
      <c r="B85" s="1"/>
      <c r="C85" s="60" t="s">
        <v>46</v>
      </c>
      <c r="D85" s="35"/>
      <c r="E85" s="7"/>
      <c r="F85" s="7"/>
      <c r="G85" s="7"/>
      <c r="H85" s="7"/>
      <c r="I85" s="7"/>
      <c r="J85" s="72">
        <f>J83+J74</f>
        <v>0</v>
      </c>
      <c r="K85" s="158"/>
      <c r="L85" s="177"/>
      <c r="M85" s="72">
        <f>SUM(J85:L85)</f>
        <v>0</v>
      </c>
      <c r="N85" s="5"/>
    </row>
    <row r="86" spans="1:14" ht="8.25" customHeight="1" thickTop="1">
      <c r="A86" s="28"/>
      <c r="B86" s="1"/>
      <c r="C86" s="35"/>
      <c r="D86" s="7"/>
      <c r="E86" s="7"/>
      <c r="F86" s="7"/>
      <c r="G86" s="7"/>
      <c r="H86" s="7"/>
      <c r="I86" s="7"/>
      <c r="J86" s="50"/>
      <c r="K86" s="154"/>
      <c r="L86" s="173"/>
      <c r="M86" s="50" t="s">
        <v>1</v>
      </c>
      <c r="N86" s="5"/>
    </row>
    <row r="87" spans="1:14" ht="9" customHeight="1">
      <c r="A87" s="1"/>
      <c r="B87" s="1"/>
      <c r="C87" s="1"/>
      <c r="D87" s="1"/>
      <c r="E87" s="1"/>
      <c r="F87" s="1"/>
      <c r="G87" s="1"/>
      <c r="H87" s="1"/>
      <c r="I87" s="1"/>
      <c r="J87" s="49"/>
      <c r="K87" s="161"/>
      <c r="L87" s="180"/>
      <c r="M87" s="58"/>
      <c r="N87" s="1"/>
    </row>
    <row r="88" ht="15">
      <c r="C88" s="36" t="s">
        <v>120</v>
      </c>
    </row>
    <row r="89" spans="3:7" ht="15">
      <c r="C89" s="14" t="s">
        <v>47</v>
      </c>
      <c r="E89" s="15" t="s">
        <v>48</v>
      </c>
      <c r="G89" s="14" t="s">
        <v>49</v>
      </c>
    </row>
    <row r="90" spans="3:6" ht="15">
      <c r="C90" s="14" t="s">
        <v>177</v>
      </c>
      <c r="E90" s="9">
        <v>0.1</v>
      </c>
      <c r="F90" s="9"/>
    </row>
    <row r="91" spans="3:7" ht="15">
      <c r="C91" s="14" t="s">
        <v>50</v>
      </c>
      <c r="E91" s="15" t="s">
        <v>51</v>
      </c>
      <c r="G91" s="14" t="s">
        <v>52</v>
      </c>
    </row>
    <row r="93" spans="4:10" ht="15">
      <c r="D93" s="216" t="s">
        <v>199</v>
      </c>
      <c r="H93" s="214">
        <f>+'RATES-Fed'!E31</f>
        <v>0.605</v>
      </c>
      <c r="J93" s="213">
        <f>J83/12*'RATES-Fed'!$C$46</f>
        <v>0</v>
      </c>
    </row>
    <row r="94" spans="4:10" ht="15">
      <c r="D94" s="307" t="s">
        <v>200</v>
      </c>
      <c r="E94" s="307"/>
      <c r="F94" s="307"/>
      <c r="G94" s="307"/>
      <c r="H94" s="214">
        <f>+'RATES-Fed'!G31</f>
        <v>0.62</v>
      </c>
      <c r="J94" s="213">
        <f>J83/12*'RATES-Fed'!$D$46</f>
        <v>0</v>
      </c>
    </row>
    <row r="95" spans="4:16" ht="17.25">
      <c r="D95" s="307"/>
      <c r="E95" s="307"/>
      <c r="F95" s="307"/>
      <c r="G95" s="307"/>
      <c r="J95" s="213">
        <f>SUM(J93:J94)</f>
        <v>0</v>
      </c>
      <c r="M95" s="306"/>
      <c r="N95" s="306"/>
      <c r="O95" s="306"/>
      <c r="P95" s="195"/>
    </row>
  </sheetData>
  <sheetProtection/>
  <mergeCells count="4">
    <mergeCell ref="J8:L8"/>
    <mergeCell ref="K4:O5"/>
    <mergeCell ref="M95:O95"/>
    <mergeCell ref="D94:G95"/>
  </mergeCells>
  <dataValidations count="1">
    <dataValidation type="list" allowBlank="1" showInputMessage="1" showErrorMessage="1" sqref="D11 D13 D20:D23 D15:D17">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portrait" scale="49"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96"/>
  <sheetViews>
    <sheetView showGridLines="0" zoomScale="75" zoomScaleNormal="75" workbookViewId="0" topLeftCell="A1">
      <selection activeCell="F34" sqref="F34:F38"/>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2" bestFit="1" customWidth="1"/>
    <col min="12" max="12" width="10.125" style="181" bestFit="1" customWidth="1"/>
    <col min="13" max="13" width="11.25390625" style="0" customWidth="1"/>
    <col min="14" max="14" width="9.25390625" style="162" bestFit="1" customWidth="1"/>
    <col min="15" max="15" width="9.50390625" style="90" bestFit="1" customWidth="1"/>
    <col min="16" max="16" width="14.625" style="0" customWidth="1"/>
    <col min="17" max="17" width="2.625" style="0" customWidth="1"/>
  </cols>
  <sheetData>
    <row r="1" spans="1:14" ht="18.75">
      <c r="A1" s="17" t="s">
        <v>0</v>
      </c>
      <c r="B1" s="18"/>
      <c r="C1" s="18"/>
      <c r="D1" s="18"/>
      <c r="E1" s="18"/>
      <c r="F1" s="18"/>
      <c r="G1" s="18"/>
      <c r="H1" s="18"/>
      <c r="I1" s="18"/>
      <c r="J1" s="19"/>
      <c r="K1" s="148"/>
      <c r="L1" s="169"/>
      <c r="M1" s="37"/>
      <c r="N1" s="163"/>
    </row>
    <row r="2" spans="1:16" ht="18.75">
      <c r="A2" s="17" t="s">
        <v>188</v>
      </c>
      <c r="B2" s="18"/>
      <c r="C2" s="18"/>
      <c r="D2" s="18"/>
      <c r="E2" s="18"/>
      <c r="F2" s="18"/>
      <c r="G2" s="18"/>
      <c r="H2" s="18"/>
      <c r="I2" s="18"/>
      <c r="J2" s="19"/>
      <c r="K2" s="148"/>
      <c r="L2" s="169"/>
      <c r="M2" s="37"/>
      <c r="N2" s="163"/>
      <c r="O2" s="191"/>
      <c r="P2" s="37"/>
    </row>
    <row r="3" spans="1:16" ht="9.75" customHeight="1">
      <c r="A3" s="10" t="s">
        <v>1</v>
      </c>
      <c r="B3" s="1"/>
      <c r="J3" s="11" t="s">
        <v>1</v>
      </c>
      <c r="K3" s="149"/>
      <c r="L3" s="170"/>
      <c r="M3" s="8"/>
      <c r="P3" s="8"/>
    </row>
    <row r="4" spans="1:16" ht="15.75">
      <c r="A4" s="22" t="s">
        <v>2</v>
      </c>
      <c r="B4" s="1"/>
      <c r="D4" s="10" t="s">
        <v>70</v>
      </c>
      <c r="G4" s="3"/>
      <c r="J4" s="20" t="s">
        <v>3</v>
      </c>
      <c r="K4" s="308" t="s">
        <v>70</v>
      </c>
      <c r="L4" s="309"/>
      <c r="M4" s="310"/>
      <c r="N4" s="310"/>
      <c r="O4" s="311"/>
      <c r="P4" s="8"/>
    </row>
    <row r="5" spans="1:16" ht="18.75">
      <c r="A5" s="22" t="s">
        <v>4</v>
      </c>
      <c r="B5" s="1"/>
      <c r="D5" s="10" t="s">
        <v>70</v>
      </c>
      <c r="E5" s="3"/>
      <c r="F5" s="3"/>
      <c r="H5" s="2"/>
      <c r="I5" s="2"/>
      <c r="J5" s="38"/>
      <c r="K5" s="312"/>
      <c r="L5" s="313"/>
      <c r="M5" s="313"/>
      <c r="N5" s="313"/>
      <c r="O5" s="314"/>
      <c r="P5" s="8"/>
    </row>
    <row r="6" spans="1:16" ht="15.75">
      <c r="A6" s="14"/>
      <c r="B6" s="22" t="s">
        <v>5</v>
      </c>
      <c r="D6" s="73">
        <f>'RATES-Fed'!E2</f>
        <v>44317</v>
      </c>
      <c r="E6" s="12" t="s">
        <v>6</v>
      </c>
      <c r="F6" s="12"/>
      <c r="G6" s="73">
        <f>'RATES-Fed'!G2</f>
        <v>46142</v>
      </c>
      <c r="H6" s="4"/>
      <c r="I6" s="4"/>
      <c r="J6" s="2"/>
      <c r="K6" s="150"/>
      <c r="L6" s="171"/>
      <c r="M6" s="3"/>
      <c r="N6" s="150"/>
      <c r="O6" s="145"/>
      <c r="P6" s="8"/>
    </row>
    <row r="7" spans="5:17" ht="7.5" customHeight="1">
      <c r="E7" s="3"/>
      <c r="F7" s="3"/>
      <c r="G7" s="1"/>
      <c r="H7" s="1"/>
      <c r="I7" s="1"/>
      <c r="J7" s="16" t="s">
        <v>1</v>
      </c>
      <c r="K7" s="149"/>
      <c r="L7" s="170"/>
      <c r="M7" s="8"/>
      <c r="N7" s="149"/>
      <c r="O7" s="139"/>
      <c r="P7" s="8"/>
      <c r="Q7" s="1"/>
    </row>
    <row r="8" spans="1:17" ht="15.75">
      <c r="A8" s="21"/>
      <c r="B8" s="21"/>
      <c r="C8" s="141" t="s">
        <v>10</v>
      </c>
      <c r="D8" s="21"/>
      <c r="E8" s="21"/>
      <c r="F8" s="21"/>
      <c r="G8" s="21"/>
      <c r="H8" s="21"/>
      <c r="I8" s="21"/>
      <c r="J8" s="297" t="s">
        <v>21</v>
      </c>
      <c r="K8" s="298"/>
      <c r="L8" s="299"/>
      <c r="M8" s="315" t="s">
        <v>54</v>
      </c>
      <c r="N8" s="316"/>
      <c r="O8" s="317"/>
      <c r="P8" s="167" t="s">
        <v>8</v>
      </c>
      <c r="Q8" s="21"/>
    </row>
    <row r="9" spans="1:19" s="143" customFormat="1" ht="15.75">
      <c r="A9" s="141" t="s">
        <v>9</v>
      </c>
      <c r="C9" s="141"/>
      <c r="D9" s="141"/>
      <c r="E9" s="141"/>
      <c r="F9" s="141"/>
      <c r="G9" s="141"/>
      <c r="H9" s="141"/>
      <c r="I9" s="141"/>
      <c r="J9" s="185" t="s">
        <v>182</v>
      </c>
      <c r="K9" s="151" t="s">
        <v>183</v>
      </c>
      <c r="L9" s="141" t="s">
        <v>184</v>
      </c>
      <c r="M9" s="190" t="s">
        <v>182</v>
      </c>
      <c r="N9" s="151" t="s">
        <v>183</v>
      </c>
      <c r="O9" s="141" t="s">
        <v>184</v>
      </c>
      <c r="P9" s="142"/>
      <c r="Q9" s="141"/>
      <c r="S9"/>
    </row>
    <row r="10" spans="1:17" ht="15.75">
      <c r="A10" s="1"/>
      <c r="B10" s="23" t="s">
        <v>11</v>
      </c>
      <c r="C10" s="24"/>
      <c r="D10" s="24" t="s">
        <v>101</v>
      </c>
      <c r="E10" s="1" t="s">
        <v>12</v>
      </c>
      <c r="F10" s="41" t="s">
        <v>123</v>
      </c>
      <c r="G10" s="41" t="s">
        <v>13</v>
      </c>
      <c r="H10" s="1"/>
      <c r="I10" s="1"/>
      <c r="J10" s="186"/>
      <c r="K10" s="149"/>
      <c r="L10" s="139"/>
      <c r="M10" s="186"/>
      <c r="N10" s="149"/>
      <c r="O10" s="139"/>
      <c r="P10" s="2">
        <f>IF(SUM(J10:N10)=0,"",SUM(J10:N10))</f>
      </c>
      <c r="Q10" s="1"/>
    </row>
    <row r="11" spans="1:19" ht="15.75">
      <c r="A11" s="1"/>
      <c r="B11" s="1" t="s">
        <v>14</v>
      </c>
      <c r="C11" s="10" t="str">
        <f>D5</f>
        <v>name</v>
      </c>
      <c r="D11" s="136" t="s">
        <v>125</v>
      </c>
      <c r="E11" s="70">
        <v>0</v>
      </c>
      <c r="F11" s="95">
        <f>IF(D11="CAL",(52*E11/4.3333),(IF(D11="ACAD",(36.35*E11/4.33333),IF(D11="SUMR",(15.65*E11/4.33333),IF(D11="PT",(0),0)))))</f>
        <v>0</v>
      </c>
      <c r="G11" s="69">
        <v>0</v>
      </c>
      <c r="J11" s="183">
        <f>ROUND(G11*E11,0)</f>
        <v>0</v>
      </c>
      <c r="K11" s="152">
        <f>ROUND(J11*'RATES-Fed'!E38,0)</f>
        <v>0</v>
      </c>
      <c r="L11" s="67">
        <f>ROUND(K11+J11,0)</f>
        <v>0</v>
      </c>
      <c r="M11" s="183">
        <f>ROUND((J11*1.025),0)</f>
        <v>0</v>
      </c>
      <c r="N11" s="152">
        <f>ROUND(M11*'RATES-Fed'!G38,0)</f>
        <v>0</v>
      </c>
      <c r="O11" s="67">
        <f aca="true" t="shared" si="0" ref="O11:O18">ROUND(M11+N11,0)</f>
        <v>0</v>
      </c>
      <c r="P11" s="42">
        <f>SUM(L11+O11)</f>
        <v>0</v>
      </c>
      <c r="Q11" s="1"/>
      <c r="S11" s="208"/>
    </row>
    <row r="12" spans="1:17" ht="15.75">
      <c r="A12" s="1"/>
      <c r="B12" s="1" t="s">
        <v>14</v>
      </c>
      <c r="C12" s="3"/>
      <c r="D12" s="136" t="str">
        <f>IF(D11="ACAD",("SUMR"),"")</f>
        <v>SUMR</v>
      </c>
      <c r="E12" s="70">
        <v>0</v>
      </c>
      <c r="F12" s="95">
        <f>IF(D12="CAL",(52*E12/4.3333),(IF(D12="ACAD",(36.35*E12/4.33333),IF(D12="SUMR",(15.65*E12/4.33333),IF(D12="PT",(0),0)))))</f>
        <v>0</v>
      </c>
      <c r="G12" s="69">
        <f>+G11*0.4375</f>
        <v>0</v>
      </c>
      <c r="J12" s="183">
        <f aca="true" t="shared" si="1" ref="J12:J18">ROUND(G12*E12,0)</f>
        <v>0</v>
      </c>
      <c r="K12" s="152">
        <f>ROUND(J12*'RATES-Fed'!E38,0)</f>
        <v>0</v>
      </c>
      <c r="L12" s="67">
        <f aca="true" t="shared" si="2" ref="L12:L18">ROUND(K12+J12,0)</f>
        <v>0</v>
      </c>
      <c r="M12" s="183">
        <f aca="true" t="shared" si="3" ref="M12:M18">ROUND((J12*1.025),0)</f>
        <v>0</v>
      </c>
      <c r="N12" s="152">
        <f>ROUND(M12*'RATES-Fed'!G38,0)</f>
        <v>0</v>
      </c>
      <c r="O12" s="67">
        <f t="shared" si="0"/>
        <v>0</v>
      </c>
      <c r="P12" s="42">
        <f aca="true" t="shared" si="4" ref="P12:P18">SUM(L12+O12)</f>
        <v>0</v>
      </c>
      <c r="Q12" s="1"/>
    </row>
    <row r="13" spans="1:17" ht="15.75">
      <c r="A13" s="1"/>
      <c r="B13" s="1" t="s">
        <v>15</v>
      </c>
      <c r="C13" s="3"/>
      <c r="D13" s="136" t="s">
        <v>125</v>
      </c>
      <c r="E13" s="70">
        <v>0</v>
      </c>
      <c r="F13" s="95">
        <f aca="true" t="shared" si="5" ref="F13:F18">IF(D13="CAL",(52*E13/4.3333),(IF(D13="ACAD",(36.35*E13/4.33333),IF(D13="SUMR",(15.65*E13/4.33333),IF(D13="PT",(0),0)))))</f>
        <v>0</v>
      </c>
      <c r="G13" s="69">
        <v>0</v>
      </c>
      <c r="J13" s="183">
        <f t="shared" si="1"/>
        <v>0</v>
      </c>
      <c r="K13" s="152">
        <f>ROUND(J13*'RATES-Fed'!E38,0)</f>
        <v>0</v>
      </c>
      <c r="L13" s="67">
        <f t="shared" si="2"/>
        <v>0</v>
      </c>
      <c r="M13" s="183">
        <f t="shared" si="3"/>
        <v>0</v>
      </c>
      <c r="N13" s="152">
        <f>ROUND(M13*'RATES-Fed'!G38,0)</f>
        <v>0</v>
      </c>
      <c r="O13" s="67">
        <f t="shared" si="0"/>
        <v>0</v>
      </c>
      <c r="P13" s="42">
        <f t="shared" si="4"/>
        <v>0</v>
      </c>
      <c r="Q13" s="1"/>
    </row>
    <row r="14" spans="1:16" ht="15.75">
      <c r="A14" s="1"/>
      <c r="B14" s="1"/>
      <c r="C14" s="3"/>
      <c r="D14" s="136" t="str">
        <f>IF(D13="ACAD",("SUMR"),"")</f>
        <v>SUMR</v>
      </c>
      <c r="E14" s="70">
        <v>0</v>
      </c>
      <c r="F14" s="95">
        <f t="shared" si="5"/>
        <v>0</v>
      </c>
      <c r="G14" s="69">
        <f>+G13*0.4375</f>
        <v>0</v>
      </c>
      <c r="J14" s="183">
        <f t="shared" si="1"/>
        <v>0</v>
      </c>
      <c r="K14" s="152">
        <f>ROUND(J14*'RATES-Fed'!E38,0)</f>
        <v>0</v>
      </c>
      <c r="L14" s="67">
        <f t="shared" si="2"/>
        <v>0</v>
      </c>
      <c r="M14" s="183">
        <f t="shared" si="3"/>
        <v>0</v>
      </c>
      <c r="N14" s="152">
        <f>ROUND(M14*'RATES-Fed'!G38,0)</f>
        <v>0</v>
      </c>
      <c r="O14" s="67">
        <f t="shared" si="0"/>
        <v>0</v>
      </c>
      <c r="P14" s="42">
        <f t="shared" si="4"/>
        <v>0</v>
      </c>
    </row>
    <row r="15" spans="1:17" ht="15.75">
      <c r="A15" s="1"/>
      <c r="B15" s="1" t="s">
        <v>15</v>
      </c>
      <c r="C15" s="3"/>
      <c r="D15" s="136" t="s">
        <v>125</v>
      </c>
      <c r="E15" s="70">
        <v>0</v>
      </c>
      <c r="F15" s="95">
        <f t="shared" si="5"/>
        <v>0</v>
      </c>
      <c r="G15" s="69">
        <v>0</v>
      </c>
      <c r="J15" s="183">
        <f t="shared" si="1"/>
        <v>0</v>
      </c>
      <c r="K15" s="152">
        <f>ROUND(J15*'RATES-Fed'!E38,0)</f>
        <v>0</v>
      </c>
      <c r="L15" s="67">
        <f t="shared" si="2"/>
        <v>0</v>
      </c>
      <c r="M15" s="183">
        <f t="shared" si="3"/>
        <v>0</v>
      </c>
      <c r="N15" s="152">
        <f>ROUND(M15*'RATES-Fed'!G38,0)</f>
        <v>0</v>
      </c>
      <c r="O15" s="67">
        <f t="shared" si="0"/>
        <v>0</v>
      </c>
      <c r="P15" s="42">
        <f t="shared" si="4"/>
        <v>0</v>
      </c>
      <c r="Q15" s="1"/>
    </row>
    <row r="16" spans="1:16" ht="15.75">
      <c r="A16" s="1"/>
      <c r="B16" s="1"/>
      <c r="C16" s="3"/>
      <c r="D16" s="136" t="str">
        <f>IF(D15="ACAD",("SUMR"),"")</f>
        <v>SUMR</v>
      </c>
      <c r="E16" s="70">
        <v>0</v>
      </c>
      <c r="F16" s="95">
        <f t="shared" si="5"/>
        <v>0</v>
      </c>
      <c r="G16" s="69">
        <f>+G15*0.4375</f>
        <v>0</v>
      </c>
      <c r="J16" s="183">
        <f t="shared" si="1"/>
        <v>0</v>
      </c>
      <c r="K16" s="152">
        <f>ROUND(J16*'RATES-Fed'!E38,0)</f>
        <v>0</v>
      </c>
      <c r="L16" s="67">
        <f t="shared" si="2"/>
        <v>0</v>
      </c>
      <c r="M16" s="183">
        <f t="shared" si="3"/>
        <v>0</v>
      </c>
      <c r="N16" s="152">
        <f>ROUND(M16*'RATES-Fed'!G38,0)</f>
        <v>0</v>
      </c>
      <c r="O16" s="67">
        <f t="shared" si="0"/>
        <v>0</v>
      </c>
      <c r="P16" s="42">
        <f t="shared" si="4"/>
        <v>0</v>
      </c>
    </row>
    <row r="17" spans="1:17" ht="15.75">
      <c r="A17" s="1"/>
      <c r="B17" s="1" t="s">
        <v>15</v>
      </c>
      <c r="C17" s="3"/>
      <c r="D17" s="136" t="s">
        <v>124</v>
      </c>
      <c r="E17" s="70">
        <v>0</v>
      </c>
      <c r="F17" s="95">
        <f t="shared" si="5"/>
        <v>0</v>
      </c>
      <c r="G17" s="69">
        <v>0</v>
      </c>
      <c r="J17" s="183">
        <f t="shared" si="1"/>
        <v>0</v>
      </c>
      <c r="K17" s="152">
        <f>ROUND(J17*'RATES-Fed'!E38,0)</f>
        <v>0</v>
      </c>
      <c r="L17" s="67">
        <f t="shared" si="2"/>
        <v>0</v>
      </c>
      <c r="M17" s="183">
        <f t="shared" si="3"/>
        <v>0</v>
      </c>
      <c r="N17" s="152">
        <f>ROUND(M17*'RATES-Fed'!G38,0)</f>
        <v>0</v>
      </c>
      <c r="O17" s="67">
        <f t="shared" si="0"/>
        <v>0</v>
      </c>
      <c r="P17" s="42">
        <f t="shared" si="4"/>
        <v>0</v>
      </c>
      <c r="Q17" s="1"/>
    </row>
    <row r="18" spans="1:16" ht="15.75">
      <c r="A18" s="1"/>
      <c r="B18" s="1" t="s">
        <v>15</v>
      </c>
      <c r="C18" s="3"/>
      <c r="D18" s="136" t="s">
        <v>124</v>
      </c>
      <c r="E18" s="70">
        <v>0</v>
      </c>
      <c r="F18" s="95">
        <f t="shared" si="5"/>
        <v>0</v>
      </c>
      <c r="G18" s="69">
        <v>0</v>
      </c>
      <c r="J18" s="197">
        <f t="shared" si="1"/>
        <v>0</v>
      </c>
      <c r="K18" s="202">
        <f>ROUND(J18*'RATES-Fed'!E38,0)</f>
        <v>0</v>
      </c>
      <c r="L18" s="203">
        <f t="shared" si="2"/>
        <v>0</v>
      </c>
      <c r="M18" s="197">
        <f t="shared" si="3"/>
        <v>0</v>
      </c>
      <c r="N18" s="202">
        <f>ROUND(M18*'RATES-Fed'!G38,0)</f>
        <v>0</v>
      </c>
      <c r="O18" s="203">
        <f t="shared" si="0"/>
        <v>0</v>
      </c>
      <c r="P18" s="200">
        <f t="shared" si="4"/>
        <v>0</v>
      </c>
    </row>
    <row r="19" spans="1:17" ht="15.75">
      <c r="A19" s="1"/>
      <c r="B19" s="1"/>
      <c r="C19" s="1"/>
      <c r="D19" s="25" t="s">
        <v>16</v>
      </c>
      <c r="E19" s="26"/>
      <c r="F19" s="26"/>
      <c r="G19" s="1"/>
      <c r="H19" s="1"/>
      <c r="I19" s="1"/>
      <c r="J19" s="201">
        <f aca="true" t="shared" si="6" ref="J19:P19">SUM(J11:J18)</f>
        <v>0</v>
      </c>
      <c r="K19" s="153">
        <f t="shared" si="6"/>
        <v>0</v>
      </c>
      <c r="L19" s="46">
        <f t="shared" si="6"/>
        <v>0</v>
      </c>
      <c r="M19" s="201">
        <f t="shared" si="6"/>
        <v>0</v>
      </c>
      <c r="N19" s="153">
        <f t="shared" si="6"/>
        <v>0</v>
      </c>
      <c r="O19" s="46">
        <f t="shared" si="6"/>
        <v>0</v>
      </c>
      <c r="P19" s="42">
        <f t="shared" si="6"/>
        <v>0</v>
      </c>
      <c r="Q19" s="6"/>
    </row>
    <row r="20" spans="1:15" ht="15.75">
      <c r="A20" s="21" t="s">
        <v>219</v>
      </c>
      <c r="B20" s="21" t="s">
        <v>220</v>
      </c>
      <c r="C20" s="1"/>
      <c r="D20" s="25"/>
      <c r="E20" s="26"/>
      <c r="F20" s="26"/>
      <c r="G20" s="1"/>
      <c r="H20" s="1"/>
      <c r="I20" s="1"/>
      <c r="J20" s="201"/>
      <c r="K20" s="153"/>
      <c r="L20" s="46"/>
      <c r="M20" s="42"/>
      <c r="N20" s="6"/>
      <c r="O20"/>
    </row>
    <row r="21" spans="1:16" ht="15.75">
      <c r="A21" s="1"/>
      <c r="B21" s="1" t="s">
        <v>15</v>
      </c>
      <c r="C21" s="3"/>
      <c r="D21" s="136" t="s">
        <v>124</v>
      </c>
      <c r="E21" s="70">
        <v>0</v>
      </c>
      <c r="F21" s="95">
        <f>IF(D21="CAL",(52*E21/4.3333),(IF(D21="ACAD",(32*E21/4.33333),IF(D21="SUMR",(14*E21/4.33333),IF(D21="PT",(0),0)))))</f>
        <v>0</v>
      </c>
      <c r="G21" s="69">
        <v>0</v>
      </c>
      <c r="J21" s="183">
        <f>ROUND(G21*E21,0)</f>
        <v>0</v>
      </c>
      <c r="K21" s="152">
        <f>ROUND(J21*'RATES-Fed'!E40,0)</f>
        <v>0</v>
      </c>
      <c r="L21" s="67">
        <f>ROUND(K21+J21,0)</f>
        <v>0</v>
      </c>
      <c r="M21" s="183">
        <f>ROUND((J21*1.02),0)</f>
        <v>0</v>
      </c>
      <c r="N21" s="152">
        <f>ROUND(M21*'RATES-Fed'!G40,0)</f>
        <v>0</v>
      </c>
      <c r="O21" s="67">
        <f>ROUND(M21+N21,0)</f>
        <v>0</v>
      </c>
      <c r="P21" s="42">
        <f>SUM(J21:O21)</f>
        <v>0</v>
      </c>
    </row>
    <row r="22" spans="1:16" ht="15.75">
      <c r="A22" s="1"/>
      <c r="B22" s="1" t="s">
        <v>15</v>
      </c>
      <c r="C22" s="3"/>
      <c r="D22" s="136" t="s">
        <v>124</v>
      </c>
      <c r="E22" s="70">
        <v>0</v>
      </c>
      <c r="F22" s="95">
        <f>IF(D22="CAL",(52*E22/4.3333),(IF(D22="ACAD",(32*E22/4.33333),IF(D22="SUMR",(14*E22/4.33333),IF(D22="PT",(0),0)))))</f>
        <v>0</v>
      </c>
      <c r="G22" s="69">
        <v>0</v>
      </c>
      <c r="J22" s="183">
        <f>ROUND(G22*E22,0)</f>
        <v>0</v>
      </c>
      <c r="K22" s="152">
        <f>ROUND(J22*'RATES-Fed'!E40,0)</f>
        <v>0</v>
      </c>
      <c r="L22" s="67">
        <f>ROUND(K22+J22,0)</f>
        <v>0</v>
      </c>
      <c r="M22" s="183">
        <f>ROUND((J22*1.02),0)</f>
        <v>0</v>
      </c>
      <c r="N22" s="152">
        <f>ROUND(M22*'RATES-Fed'!G40,0)</f>
        <v>0</v>
      </c>
      <c r="O22" s="67">
        <f>ROUND(M22+N22,0)</f>
        <v>0</v>
      </c>
      <c r="P22" s="42">
        <f>SUM(J22:O22)</f>
        <v>0</v>
      </c>
    </row>
    <row r="23" spans="1:16" ht="15.75">
      <c r="A23" s="1"/>
      <c r="B23" s="1" t="s">
        <v>15</v>
      </c>
      <c r="C23" s="3"/>
      <c r="D23" s="136" t="s">
        <v>124</v>
      </c>
      <c r="E23" s="70">
        <v>0</v>
      </c>
      <c r="F23" s="95">
        <f>IF(D23="CAL",(52*E23/4.3333),(IF(D23="ACAD",(32*E23/4.33333),IF(D23="SUMR",(14*E23/4.33333),IF(D23="PT",(0),0)))))</f>
        <v>0</v>
      </c>
      <c r="G23" s="69">
        <v>0</v>
      </c>
      <c r="J23" s="183">
        <f>ROUND(G23*E23,0)</f>
        <v>0</v>
      </c>
      <c r="K23" s="152">
        <f>ROUND(J23*'RATES-Fed'!E40,0)</f>
        <v>0</v>
      </c>
      <c r="L23" s="67">
        <f>ROUND(K23+J23,0)</f>
        <v>0</v>
      </c>
      <c r="M23" s="183">
        <f>ROUND((J23*1.02),0)</f>
        <v>0</v>
      </c>
      <c r="N23" s="152">
        <f>ROUND(M23*'RATES-Fed'!G40,0)</f>
        <v>0</v>
      </c>
      <c r="O23" s="67">
        <f>ROUND(M23+N23,0)</f>
        <v>0</v>
      </c>
      <c r="P23" s="42">
        <f>SUM(J23:O23)</f>
        <v>0</v>
      </c>
    </row>
    <row r="24" spans="1:16" ht="15.75">
      <c r="A24" s="1"/>
      <c r="B24" s="1" t="s">
        <v>15</v>
      </c>
      <c r="C24" s="3"/>
      <c r="D24" s="136" t="s">
        <v>124</v>
      </c>
      <c r="E24" s="70">
        <v>0</v>
      </c>
      <c r="F24" s="95">
        <f>IF(D24="CAL",(52*E24/4.3333),(IF(D24="ACAD",(32*E24/4.33333),IF(D24="SUMR",(14*E24/4.33333),IF(D24="PT",(0),0)))))</f>
        <v>0</v>
      </c>
      <c r="G24" s="69">
        <v>0</v>
      </c>
      <c r="J24" s="183">
        <f>ROUND(G24*E24,0)</f>
        <v>0</v>
      </c>
      <c r="K24" s="202">
        <f>ROUND(J24*'RATES-Fed'!E40,0)</f>
        <v>0</v>
      </c>
      <c r="L24" s="203">
        <f>ROUND(K24+J24,0)</f>
        <v>0</v>
      </c>
      <c r="M24" s="197">
        <f>ROUND((J24*1.02),0)</f>
        <v>0</v>
      </c>
      <c r="N24" s="202">
        <f>ROUND(M24*'RATES-Fed'!G40,0)</f>
        <v>0</v>
      </c>
      <c r="O24" s="203">
        <f>ROUND(M24+N24,0)</f>
        <v>0</v>
      </c>
      <c r="P24" s="200">
        <f>SUM(J24:O24)</f>
        <v>0</v>
      </c>
    </row>
    <row r="25" spans="1:16" ht="15.75">
      <c r="A25" s="1"/>
      <c r="B25" s="1"/>
      <c r="C25" s="1"/>
      <c r="D25" s="25" t="s">
        <v>224</v>
      </c>
      <c r="E25" s="26"/>
      <c r="F25" s="26"/>
      <c r="G25" s="1"/>
      <c r="H25" s="1"/>
      <c r="I25" s="1"/>
      <c r="J25" s="187">
        <f aca="true" t="shared" si="7" ref="J25:O25">SUM(J21:J24)</f>
        <v>0</v>
      </c>
      <c r="K25" s="153">
        <f t="shared" si="7"/>
        <v>0</v>
      </c>
      <c r="L25" s="46">
        <f t="shared" si="7"/>
        <v>0</v>
      </c>
      <c r="M25" s="76">
        <f t="shared" si="7"/>
        <v>0</v>
      </c>
      <c r="N25" s="6">
        <f t="shared" si="7"/>
        <v>0</v>
      </c>
      <c r="O25" s="76">
        <f t="shared" si="7"/>
        <v>0</v>
      </c>
      <c r="P25" s="42">
        <f>SUM(J25:O25)</f>
        <v>0</v>
      </c>
    </row>
    <row r="26" spans="1:17" ht="7.5" customHeight="1">
      <c r="A26" s="1"/>
      <c r="B26" s="1"/>
      <c r="C26" s="1"/>
      <c r="D26" s="26"/>
      <c r="E26" s="26"/>
      <c r="F26" s="26"/>
      <c r="G26" s="1"/>
      <c r="H26" s="1"/>
      <c r="I26" s="1"/>
      <c r="J26" s="188"/>
      <c r="K26" s="153"/>
      <c r="L26" s="46"/>
      <c r="M26" s="182"/>
      <c r="N26" s="153"/>
      <c r="O26" s="46"/>
      <c r="P26" s="42"/>
      <c r="Q26" s="6"/>
    </row>
    <row r="27" spans="1:17" ht="15.75">
      <c r="A27" s="22" t="s">
        <v>221</v>
      </c>
      <c r="B27" s="22" t="s">
        <v>17</v>
      </c>
      <c r="C27" s="1"/>
      <c r="D27" s="26"/>
      <c r="E27" s="1"/>
      <c r="F27" s="1"/>
      <c r="G27" s="41"/>
      <c r="H27" s="1"/>
      <c r="I27" s="1"/>
      <c r="J27" s="186"/>
      <c r="K27" s="149"/>
      <c r="L27" s="139"/>
      <c r="M27" s="186"/>
      <c r="N27" s="153"/>
      <c r="O27" s="46"/>
      <c r="P27" s="42"/>
      <c r="Q27" s="6"/>
    </row>
    <row r="28" spans="1:17" ht="15.75">
      <c r="A28" s="1"/>
      <c r="C28" s="13" t="s">
        <v>87</v>
      </c>
      <c r="D28" s="41" t="s">
        <v>121</v>
      </c>
      <c r="E28" s="68"/>
      <c r="F28" s="68"/>
      <c r="G28" s="59"/>
      <c r="J28" s="183"/>
      <c r="K28" s="154"/>
      <c r="L28" s="50"/>
      <c r="M28" s="183"/>
      <c r="N28" s="164"/>
      <c r="O28" s="144"/>
      <c r="P28" s="42"/>
      <c r="Q28" s="5"/>
    </row>
    <row r="29" spans="1:17" ht="15.75">
      <c r="A29" s="1"/>
      <c r="C29" s="13"/>
      <c r="D29" s="93"/>
      <c r="E29" s="70">
        <v>0</v>
      </c>
      <c r="F29" s="94">
        <f>SUM(52*E29/4.3333)</f>
        <v>0</v>
      </c>
      <c r="G29" s="69">
        <v>0</v>
      </c>
      <c r="J29" s="183">
        <f>ROUND(G29*E29,0)</f>
        <v>0</v>
      </c>
      <c r="K29" s="154">
        <f>ROUND(J29*'RATES-Fed'!E39,0)</f>
        <v>0</v>
      </c>
      <c r="L29" s="50">
        <f>SUM(J29:K29)</f>
        <v>0</v>
      </c>
      <c r="M29" s="183">
        <f>ROUND(J29*1.02,0)</f>
        <v>0</v>
      </c>
      <c r="N29" s="154">
        <f>ROUND(M29*'RATES-Fed'!G39,0)</f>
        <v>0</v>
      </c>
      <c r="O29" s="50">
        <f>SUM(M29:N29)</f>
        <v>0</v>
      </c>
      <c r="P29" s="42">
        <f>SUM(L29+O29)</f>
        <v>0</v>
      </c>
      <c r="Q29" s="5"/>
    </row>
    <row r="30" spans="1:17" ht="15.75">
      <c r="A30" s="1"/>
      <c r="C30" s="13"/>
      <c r="D30" s="1"/>
      <c r="E30" s="70">
        <v>0</v>
      </c>
      <c r="F30" s="94">
        <f>SUM(52*E30/4.3333)</f>
        <v>0</v>
      </c>
      <c r="G30" s="69">
        <v>0</v>
      </c>
      <c r="J30" s="183">
        <f>ROUND(G30*E30,0)</f>
        <v>0</v>
      </c>
      <c r="K30" s="154">
        <f>ROUND(J30*'RATES-Fed'!E39,0)</f>
        <v>0</v>
      </c>
      <c r="L30" s="50">
        <f>SUM(J30:K30)</f>
        <v>0</v>
      </c>
      <c r="M30" s="183">
        <f>ROUND(J30*1.02,0)</f>
        <v>0</v>
      </c>
      <c r="N30" s="154">
        <f>ROUND(M30*'RATES-Fed'!G39,0)</f>
        <v>0</v>
      </c>
      <c r="O30" s="50">
        <f>SUM(M30:N30)</f>
        <v>0</v>
      </c>
      <c r="P30" s="42">
        <f>SUM(L30+O30)</f>
        <v>0</v>
      </c>
      <c r="Q30" s="5"/>
    </row>
    <row r="31" spans="1:17" ht="15.75">
      <c r="A31" s="1"/>
      <c r="C31" s="13"/>
      <c r="D31" s="1"/>
      <c r="E31" s="70">
        <v>0</v>
      </c>
      <c r="F31" s="94">
        <f>SUM(52*E31/4.3333)</f>
        <v>0</v>
      </c>
      <c r="G31" s="69">
        <v>0</v>
      </c>
      <c r="J31" s="197">
        <f>ROUND(G31*E31,0)</f>
        <v>0</v>
      </c>
      <c r="K31" s="198">
        <f>ROUND(J31*'RATES-Fed'!E39,0)</f>
        <v>0</v>
      </c>
      <c r="L31" s="199">
        <f>SUM(J31:K31)</f>
        <v>0</v>
      </c>
      <c r="M31" s="197">
        <f>ROUND(J31*1.02,0)</f>
        <v>0</v>
      </c>
      <c r="N31" s="198">
        <f>ROUND(M31*'RATES-Fed'!G39,0)</f>
        <v>0</v>
      </c>
      <c r="O31" s="199">
        <f>SUM(M31:N31)</f>
        <v>0</v>
      </c>
      <c r="P31" s="200">
        <f>SUM(L31+O31)</f>
        <v>0</v>
      </c>
      <c r="Q31" s="5"/>
    </row>
    <row r="32" spans="1:17" ht="15.75">
      <c r="A32" s="1"/>
      <c r="C32" s="13"/>
      <c r="D32" s="1" t="s">
        <v>122</v>
      </c>
      <c r="E32" s="70"/>
      <c r="F32" s="70"/>
      <c r="G32" s="69"/>
      <c r="J32" s="189">
        <f aca="true" t="shared" si="8" ref="J32:P32">SUM(J29:J31)</f>
        <v>0</v>
      </c>
      <c r="K32" s="154">
        <f t="shared" si="8"/>
        <v>0</v>
      </c>
      <c r="L32" s="50">
        <f t="shared" si="8"/>
        <v>0</v>
      </c>
      <c r="M32" s="189">
        <f t="shared" si="8"/>
        <v>0</v>
      </c>
      <c r="N32" s="164">
        <f t="shared" si="8"/>
        <v>0</v>
      </c>
      <c r="O32" s="144">
        <f t="shared" si="8"/>
        <v>0</v>
      </c>
      <c r="P32" s="42">
        <f t="shared" si="8"/>
        <v>0</v>
      </c>
      <c r="Q32" s="5"/>
    </row>
    <row r="33" spans="1:17" ht="9.75" customHeight="1">
      <c r="A33" s="1"/>
      <c r="C33" s="13"/>
      <c r="D33" s="1"/>
      <c r="E33" s="70"/>
      <c r="F33" s="70"/>
      <c r="G33" s="69"/>
      <c r="J33" s="189"/>
      <c r="K33" s="154"/>
      <c r="L33" s="50"/>
      <c r="M33" s="189"/>
      <c r="N33" s="164"/>
      <c r="O33" s="144"/>
      <c r="P33" s="42"/>
      <c r="Q33" s="5"/>
    </row>
    <row r="34" spans="1:17" ht="15.75">
      <c r="A34" s="1"/>
      <c r="C34" s="13" t="s">
        <v>88</v>
      </c>
      <c r="D34" s="1"/>
      <c r="E34" s="70">
        <v>0</v>
      </c>
      <c r="F34" s="94">
        <f>SUM(52*E34/4.3333)</f>
        <v>0</v>
      </c>
      <c r="G34" s="69">
        <v>0</v>
      </c>
      <c r="J34" s="183">
        <f>ROUND(G34*E34,0)</f>
        <v>0</v>
      </c>
      <c r="K34" s="154">
        <f>ROUND(J34*'RATES-Fed'!E43,0)</f>
        <v>0</v>
      </c>
      <c r="L34" s="50">
        <f>SUM(J34:K34)</f>
        <v>0</v>
      </c>
      <c r="M34" s="183">
        <f>ROUND((J34*1.02),0)</f>
        <v>0</v>
      </c>
      <c r="N34" s="154">
        <f>ROUND(M34*'RATES-Fed'!G43,0)</f>
        <v>0</v>
      </c>
      <c r="O34" s="50">
        <f>SUM(M34:N34)</f>
        <v>0</v>
      </c>
      <c r="P34" s="42">
        <f>SUM(L34+O34)</f>
        <v>0</v>
      </c>
      <c r="Q34" s="5"/>
    </row>
    <row r="35" spans="1:17" ht="15.75">
      <c r="A35" s="1"/>
      <c r="C35" s="13" t="s">
        <v>18</v>
      </c>
      <c r="D35" s="1"/>
      <c r="E35" s="70">
        <v>0</v>
      </c>
      <c r="F35" s="94">
        <f>SUM(52*E35/4.3333)</f>
        <v>0</v>
      </c>
      <c r="G35" s="69">
        <v>0</v>
      </c>
      <c r="J35" s="183">
        <f>ROUND(G35*E35,0)</f>
        <v>0</v>
      </c>
      <c r="K35" s="154">
        <f>ROUND(J35*'RATES-Fed'!E42,0)</f>
        <v>0</v>
      </c>
      <c r="L35" s="50">
        <f>SUM(J35:K35)</f>
        <v>0</v>
      </c>
      <c r="M35" s="183">
        <f>ROUND((J35*1.02),0)</f>
        <v>0</v>
      </c>
      <c r="N35" s="154">
        <f>ROUND(M35*'RATES-Fed'!G42,0)</f>
        <v>0</v>
      </c>
      <c r="O35" s="50">
        <f>SUM(M35:N35)</f>
        <v>0</v>
      </c>
      <c r="P35" s="42">
        <f>SUM(L35+O35)</f>
        <v>0</v>
      </c>
      <c r="Q35" s="5"/>
    </row>
    <row r="36" spans="1:17" ht="15.75">
      <c r="A36" s="1"/>
      <c r="C36" s="13" t="s">
        <v>19</v>
      </c>
      <c r="D36" s="1"/>
      <c r="E36" s="70">
        <v>0</v>
      </c>
      <c r="F36" s="94">
        <f>SUM(52*E36/4.3333)</f>
        <v>0</v>
      </c>
      <c r="G36" s="69">
        <v>0</v>
      </c>
      <c r="J36" s="183">
        <f>ROUND(G36*E36,0)</f>
        <v>0</v>
      </c>
      <c r="K36" s="154">
        <f>ROUND(J36*'RATES-Fed'!E42,0)</f>
        <v>0</v>
      </c>
      <c r="L36" s="50">
        <f>SUM(J36:K36)</f>
        <v>0</v>
      </c>
      <c r="M36" s="183">
        <f>ROUND((J36*1.02),0)</f>
        <v>0</v>
      </c>
      <c r="N36" s="154">
        <f>ROUND(M36*'RATES-Fed'!G42,0)</f>
        <v>0</v>
      </c>
      <c r="O36" s="50">
        <f>SUM(M36:N36)</f>
        <v>0</v>
      </c>
      <c r="P36" s="42">
        <f>SUM(L36+O36)</f>
        <v>0</v>
      </c>
      <c r="Q36" s="5"/>
    </row>
    <row r="37" spans="1:19" s="90" customFormat="1" ht="15.75">
      <c r="A37" s="139"/>
      <c r="C37" s="138" t="s">
        <v>20</v>
      </c>
      <c r="D37" s="139"/>
      <c r="E37" s="70">
        <v>0</v>
      </c>
      <c r="F37" s="94">
        <f>SUM(52*E37/4.3333)</f>
        <v>0</v>
      </c>
      <c r="G37" s="69">
        <v>0</v>
      </c>
      <c r="J37" s="183">
        <f>ROUND(G37*E37,0)</f>
        <v>0</v>
      </c>
      <c r="K37" s="154">
        <f>ROUND(J37*'RATES-Fed'!E43,0)</f>
        <v>0</v>
      </c>
      <c r="L37" s="50">
        <f>SUM(J37:K37)</f>
        <v>0</v>
      </c>
      <c r="M37" s="183">
        <f>ROUND((J37*1.02),0)</f>
        <v>0</v>
      </c>
      <c r="N37" s="154">
        <f>ROUND(M37*'RATES-Fed'!G43,0)</f>
        <v>0</v>
      </c>
      <c r="O37" s="50">
        <f>SUM(M37:N37)</f>
        <v>0</v>
      </c>
      <c r="P37" s="42">
        <f>SUM(L37+O37)</f>
        <v>0</v>
      </c>
      <c r="Q37" s="146"/>
      <c r="S37"/>
    </row>
    <row r="38" spans="1:19" s="90" customFormat="1" ht="15.75">
      <c r="A38" s="139"/>
      <c r="C38" s="138" t="s">
        <v>89</v>
      </c>
      <c r="D38" s="139"/>
      <c r="E38" s="70">
        <v>0</v>
      </c>
      <c r="F38" s="94">
        <f>SUM(52*E38/4.3333)</f>
        <v>0</v>
      </c>
      <c r="G38" s="69">
        <v>0</v>
      </c>
      <c r="J38" s="197">
        <f>ROUND(G38*E38,0)</f>
        <v>0</v>
      </c>
      <c r="K38" s="198">
        <f>ROUND(J38*'RATES-Fed'!E41,0)</f>
        <v>0</v>
      </c>
      <c r="L38" s="199">
        <f>SUM(J38:K38)</f>
        <v>0</v>
      </c>
      <c r="M38" s="197">
        <f>ROUND((J38*1.02),0)</f>
        <v>0</v>
      </c>
      <c r="N38" s="205">
        <f>ROUND(M38*'RATES-Fed'!G41,0)</f>
        <v>0</v>
      </c>
      <c r="O38" s="199">
        <f>SUM(M38:N38)</f>
        <v>0</v>
      </c>
      <c r="P38" s="200">
        <f>SUM(L38+O38)</f>
        <v>0</v>
      </c>
      <c r="Q38" s="146"/>
      <c r="S38"/>
    </row>
    <row r="39" spans="1:19" ht="15.75">
      <c r="A39" s="1"/>
      <c r="B39" s="1"/>
      <c r="C39" s="1"/>
      <c r="D39" s="184" t="s">
        <v>185</v>
      </c>
      <c r="E39" s="26"/>
      <c r="F39" s="26"/>
      <c r="G39" s="1"/>
      <c r="H39" s="1"/>
      <c r="I39" s="1"/>
      <c r="J39" s="204">
        <f aca="true" t="shared" si="9" ref="J39:O39">SUM(J19+J25+J32+J34+J35+J36+J37+J38)</f>
        <v>0</v>
      </c>
      <c r="K39" s="154">
        <f t="shared" si="9"/>
        <v>0</v>
      </c>
      <c r="L39" s="50">
        <f t="shared" si="9"/>
        <v>0</v>
      </c>
      <c r="M39" s="204">
        <f t="shared" si="9"/>
        <v>0</v>
      </c>
      <c r="N39" s="154">
        <f t="shared" si="9"/>
        <v>0</v>
      </c>
      <c r="O39" s="50">
        <f t="shared" si="9"/>
        <v>0</v>
      </c>
      <c r="P39" s="42">
        <f>SUM(P34:P38)</f>
        <v>0</v>
      </c>
      <c r="Q39" s="5"/>
      <c r="S39" s="209"/>
    </row>
    <row r="40" spans="1:19" ht="7.5" customHeight="1">
      <c r="A40" s="1"/>
      <c r="B40" s="1"/>
      <c r="C40" s="1"/>
      <c r="D40" s="26"/>
      <c r="E40" s="26"/>
      <c r="F40" s="26"/>
      <c r="G40" s="26"/>
      <c r="H40" s="26"/>
      <c r="I40" s="26"/>
      <c r="J40" s="52"/>
      <c r="K40" s="153"/>
      <c r="L40" s="172"/>
      <c r="M40" s="64"/>
      <c r="P40" s="64" t="s">
        <v>1</v>
      </c>
      <c r="Q40" s="6"/>
      <c r="S40" s="209"/>
    </row>
    <row r="41" spans="1:19" s="31" customFormat="1" ht="15.75">
      <c r="A41" s="40" t="s">
        <v>23</v>
      </c>
      <c r="B41" s="21"/>
      <c r="D41" s="28"/>
      <c r="E41" s="28"/>
      <c r="F41" s="28"/>
      <c r="G41" s="28"/>
      <c r="H41" s="28"/>
      <c r="I41" s="28"/>
      <c r="J41" s="47">
        <f>SUM(J39+K39)</f>
        <v>0</v>
      </c>
      <c r="K41" s="155"/>
      <c r="L41" s="174"/>
      <c r="M41" s="47">
        <f>SUM(M39+N39)</f>
        <v>0</v>
      </c>
      <c r="N41" s="155"/>
      <c r="O41" s="140"/>
      <c r="P41" s="47">
        <f>SUM(J41+M41)</f>
        <v>0</v>
      </c>
      <c r="Q41" s="29"/>
      <c r="S41"/>
    </row>
    <row r="42" spans="1:17" ht="8.25" customHeight="1">
      <c r="A42" s="1"/>
      <c r="B42" s="1"/>
      <c r="C42" s="28"/>
      <c r="D42" s="26"/>
      <c r="E42" s="26"/>
      <c r="F42" s="26"/>
      <c r="G42" s="26"/>
      <c r="H42" s="26"/>
      <c r="I42" s="26"/>
      <c r="J42" s="52"/>
      <c r="K42" s="153"/>
      <c r="L42" s="172"/>
      <c r="M42" s="46"/>
      <c r="N42" s="153"/>
      <c r="O42" s="46"/>
      <c r="P42" s="46" t="s">
        <v>1</v>
      </c>
      <c r="Q42" s="6"/>
    </row>
    <row r="43" spans="1:19" ht="15.75">
      <c r="A43" s="22" t="s">
        <v>24</v>
      </c>
      <c r="B43" s="22" t="s">
        <v>25</v>
      </c>
      <c r="C43" s="21"/>
      <c r="D43" s="26"/>
      <c r="E43" s="26"/>
      <c r="F43" s="26"/>
      <c r="G43" s="26"/>
      <c r="H43" s="26"/>
      <c r="I43" s="26"/>
      <c r="J43" s="52"/>
      <c r="K43" s="153"/>
      <c r="L43" s="172"/>
      <c r="M43" s="50"/>
      <c r="N43" s="153"/>
      <c r="O43" s="46"/>
      <c r="P43" s="50" t="s">
        <v>1</v>
      </c>
      <c r="Q43" s="6"/>
      <c r="S43" s="31"/>
    </row>
    <row r="44" spans="1:17" ht="15.75">
      <c r="A44" s="21"/>
      <c r="B44" s="21"/>
      <c r="C44" s="10" t="s">
        <v>26</v>
      </c>
      <c r="D44" s="30"/>
      <c r="E44" s="30"/>
      <c r="F44" s="30"/>
      <c r="G44" s="30"/>
      <c r="H44" s="30"/>
      <c r="I44" s="30"/>
      <c r="J44" s="42">
        <v>0</v>
      </c>
      <c r="K44" s="153"/>
      <c r="L44" s="172"/>
      <c r="M44" s="42">
        <v>0</v>
      </c>
      <c r="N44" s="154"/>
      <c r="O44" s="50"/>
      <c r="P44" s="42">
        <f>SUM(J44:O44)</f>
        <v>0</v>
      </c>
      <c r="Q44" s="6"/>
    </row>
    <row r="45" spans="1:17" ht="15.75">
      <c r="A45" s="21"/>
      <c r="B45" s="21"/>
      <c r="C45" s="10" t="s">
        <v>26</v>
      </c>
      <c r="D45" s="30"/>
      <c r="E45" s="30"/>
      <c r="F45" s="30"/>
      <c r="G45" s="30"/>
      <c r="H45" s="30"/>
      <c r="I45" s="30"/>
      <c r="J45" s="42">
        <v>0</v>
      </c>
      <c r="K45" s="153"/>
      <c r="L45" s="172"/>
      <c r="M45" s="42">
        <v>0</v>
      </c>
      <c r="N45" s="154"/>
      <c r="O45" s="50"/>
      <c r="P45" s="42">
        <f>SUM(J45:O45)</f>
        <v>0</v>
      </c>
      <c r="Q45" s="6"/>
    </row>
    <row r="46" spans="1:17" ht="15.75">
      <c r="A46" s="21"/>
      <c r="B46" s="21"/>
      <c r="C46" s="27" t="s">
        <v>27</v>
      </c>
      <c r="D46" s="28"/>
      <c r="E46" s="28"/>
      <c r="F46" s="28"/>
      <c r="G46" s="28"/>
      <c r="H46" s="28"/>
      <c r="I46" s="28"/>
      <c r="J46" s="53">
        <f>SUM(J44:J45)</f>
        <v>0</v>
      </c>
      <c r="K46" s="156"/>
      <c r="L46" s="175"/>
      <c r="M46" s="53">
        <f>SUM(M44:M45)</f>
        <v>0</v>
      </c>
      <c r="N46" s="156"/>
      <c r="O46" s="48"/>
      <c r="P46" s="53">
        <f>SUM(J46:O46)</f>
        <v>0</v>
      </c>
      <c r="Q46" s="29"/>
    </row>
    <row r="47" spans="1:16" ht="9" customHeight="1">
      <c r="A47" s="1"/>
      <c r="B47" s="1"/>
      <c r="C47" s="28"/>
      <c r="D47" s="26"/>
      <c r="E47" s="26"/>
      <c r="F47" s="26"/>
      <c r="G47" s="26"/>
      <c r="H47" s="26"/>
      <c r="I47" s="26"/>
      <c r="J47" s="52"/>
      <c r="K47" s="153"/>
      <c r="L47" s="172"/>
      <c r="M47" s="46"/>
      <c r="N47" s="153"/>
      <c r="O47" s="46"/>
      <c r="P47" s="46"/>
    </row>
    <row r="48" spans="1:17" ht="15.75">
      <c r="A48" s="22" t="s">
        <v>28</v>
      </c>
      <c r="B48" s="22" t="s">
        <v>29</v>
      </c>
      <c r="C48" s="1"/>
      <c r="D48" s="21"/>
      <c r="E48" s="21"/>
      <c r="F48" s="21"/>
      <c r="G48" s="1"/>
      <c r="H48" s="1"/>
      <c r="I48" s="1"/>
      <c r="J48" s="54"/>
      <c r="K48" s="154"/>
      <c r="L48" s="173"/>
      <c r="M48" s="45" t="s">
        <v>1</v>
      </c>
      <c r="N48" s="154"/>
      <c r="O48" s="50"/>
      <c r="P48" s="45"/>
      <c r="Q48" s="5"/>
    </row>
    <row r="49" spans="1:17" ht="15.75">
      <c r="A49" s="21"/>
      <c r="B49" s="21"/>
      <c r="C49" s="13" t="s">
        <v>30</v>
      </c>
      <c r="D49" s="10" t="s">
        <v>26</v>
      </c>
      <c r="E49" s="31"/>
      <c r="F49" s="31"/>
      <c r="J49" s="42">
        <v>0</v>
      </c>
      <c r="K49" s="154"/>
      <c r="L49" s="173"/>
      <c r="M49" s="42">
        <f>ROUND((J49*1.02),0)</f>
        <v>0</v>
      </c>
      <c r="N49" s="164"/>
      <c r="O49" s="144"/>
      <c r="P49" s="42">
        <f>SUM(J49:O49)</f>
        <v>0</v>
      </c>
      <c r="Q49" s="5"/>
    </row>
    <row r="50" spans="1:17" ht="15.75">
      <c r="A50" s="21"/>
      <c r="B50" s="21"/>
      <c r="C50" s="13" t="s">
        <v>31</v>
      </c>
      <c r="D50" s="10" t="s">
        <v>26</v>
      </c>
      <c r="E50" s="31"/>
      <c r="F50" s="31"/>
      <c r="J50" s="42">
        <v>0</v>
      </c>
      <c r="K50" s="154"/>
      <c r="L50" s="173"/>
      <c r="M50" s="42">
        <f>ROUND((J50*1.02),0)</f>
        <v>0</v>
      </c>
      <c r="N50" s="164"/>
      <c r="O50" s="144"/>
      <c r="P50" s="42">
        <f>SUM(J50:O50)</f>
        <v>0</v>
      </c>
      <c r="Q50" s="5"/>
    </row>
    <row r="51" spans="1:19" s="31" customFormat="1" ht="15.75">
      <c r="A51" s="21"/>
      <c r="B51" s="21"/>
      <c r="C51" s="27" t="s">
        <v>32</v>
      </c>
      <c r="D51" s="28"/>
      <c r="E51" s="28"/>
      <c r="F51" s="28"/>
      <c r="G51" s="28"/>
      <c r="H51" s="28"/>
      <c r="I51" s="28"/>
      <c r="J51" s="53">
        <f>SUM(J49:J50)</f>
        <v>0</v>
      </c>
      <c r="K51" s="156"/>
      <c r="L51" s="175"/>
      <c r="M51" s="55">
        <f>SUM(M49:M50)</f>
        <v>0</v>
      </c>
      <c r="N51" s="156"/>
      <c r="O51" s="48"/>
      <c r="P51" s="55">
        <f>SUM(J51:O51)</f>
        <v>0</v>
      </c>
      <c r="Q51" s="29"/>
      <c r="S51"/>
    </row>
    <row r="52" spans="1:19" s="31" customFormat="1" ht="9" customHeight="1">
      <c r="A52" s="21"/>
      <c r="B52" s="21"/>
      <c r="C52" s="27"/>
      <c r="D52" s="28"/>
      <c r="E52" s="28"/>
      <c r="F52" s="28"/>
      <c r="G52" s="28"/>
      <c r="H52" s="28"/>
      <c r="I52" s="28"/>
      <c r="J52" s="61"/>
      <c r="K52" s="156"/>
      <c r="L52" s="175"/>
      <c r="M52" s="280"/>
      <c r="N52" s="156"/>
      <c r="O52" s="48"/>
      <c r="P52" s="280"/>
      <c r="Q52" s="29"/>
      <c r="S52"/>
    </row>
    <row r="53" spans="1:19" s="31" customFormat="1" ht="15.75">
      <c r="A53" s="21" t="s">
        <v>229</v>
      </c>
      <c r="B53" s="21" t="s">
        <v>230</v>
      </c>
      <c r="C53" s="27"/>
      <c r="D53" s="28"/>
      <c r="E53" s="28"/>
      <c r="F53" s="28"/>
      <c r="G53" s="28"/>
      <c r="H53" s="28"/>
      <c r="I53" s="28"/>
      <c r="J53" s="61"/>
      <c r="K53" s="156"/>
      <c r="L53" s="175"/>
      <c r="M53" s="280"/>
      <c r="N53" s="156"/>
      <c r="O53" s="48"/>
      <c r="P53" s="280"/>
      <c r="Q53" s="29"/>
      <c r="S53"/>
    </row>
    <row r="54" spans="1:19" s="31" customFormat="1" ht="15.75">
      <c r="A54" s="21"/>
      <c r="B54" s="21"/>
      <c r="C54" s="283" t="s">
        <v>231</v>
      </c>
      <c r="D54" s="28"/>
      <c r="E54" s="28"/>
      <c r="F54" s="28"/>
      <c r="G54" s="28"/>
      <c r="H54" s="28"/>
      <c r="I54" s="28"/>
      <c r="J54" s="61">
        <v>0</v>
      </c>
      <c r="K54" s="156"/>
      <c r="L54" s="175"/>
      <c r="M54" s="280">
        <v>0</v>
      </c>
      <c r="N54" s="156"/>
      <c r="O54" s="48"/>
      <c r="P54" s="280">
        <f>SUM(J54:O54)</f>
        <v>0</v>
      </c>
      <c r="Q54" s="29"/>
      <c r="S54"/>
    </row>
    <row r="55" spans="1:19" s="31" customFormat="1" ht="15.75">
      <c r="A55" s="21"/>
      <c r="B55" s="21"/>
      <c r="C55" s="283" t="s">
        <v>232</v>
      </c>
      <c r="D55" s="28"/>
      <c r="E55" s="28"/>
      <c r="F55" s="28"/>
      <c r="G55" s="28"/>
      <c r="H55" s="28"/>
      <c r="I55" s="28"/>
      <c r="J55" s="61">
        <v>0</v>
      </c>
      <c r="K55" s="156"/>
      <c r="L55" s="175"/>
      <c r="M55" s="280">
        <v>0</v>
      </c>
      <c r="N55" s="156"/>
      <c r="O55" s="48"/>
      <c r="P55" s="280">
        <f>SUM(J55:O55)</f>
        <v>0</v>
      </c>
      <c r="Q55" s="29"/>
      <c r="S55"/>
    </row>
    <row r="56" spans="1:19" s="31" customFormat="1" ht="15.75">
      <c r="A56" s="21"/>
      <c r="B56" s="21"/>
      <c r="C56" s="283" t="s">
        <v>233</v>
      </c>
      <c r="D56" s="28"/>
      <c r="E56" s="28"/>
      <c r="F56" s="28"/>
      <c r="G56" s="28"/>
      <c r="H56" s="28"/>
      <c r="I56" s="28"/>
      <c r="J56" s="61">
        <v>0</v>
      </c>
      <c r="K56" s="156"/>
      <c r="L56" s="175"/>
      <c r="M56" s="280">
        <v>0</v>
      </c>
      <c r="N56" s="156"/>
      <c r="O56" s="48"/>
      <c r="P56" s="280">
        <f>SUM(J56:O56)</f>
        <v>0</v>
      </c>
      <c r="Q56" s="29"/>
      <c r="S56"/>
    </row>
    <row r="57" spans="1:19" s="31" customFormat="1" ht="15.75">
      <c r="A57" s="21"/>
      <c r="B57" s="21"/>
      <c r="C57" s="283" t="s">
        <v>234</v>
      </c>
      <c r="D57" s="28"/>
      <c r="E57" s="28"/>
      <c r="F57" s="28"/>
      <c r="G57" s="28"/>
      <c r="H57" s="28"/>
      <c r="I57" s="28"/>
      <c r="J57" s="281">
        <v>0</v>
      </c>
      <c r="K57" s="156"/>
      <c r="L57" s="175"/>
      <c r="M57" s="282">
        <v>0</v>
      </c>
      <c r="N57" s="156"/>
      <c r="O57" s="48"/>
      <c r="P57" s="282">
        <f>SUM(J57:O57)</f>
        <v>0</v>
      </c>
      <c r="Q57" s="29"/>
      <c r="S57"/>
    </row>
    <row r="58" spans="1:19" s="31" customFormat="1" ht="15.75">
      <c r="A58" s="1"/>
      <c r="B58" s="1"/>
      <c r="C58" s="27" t="s">
        <v>235</v>
      </c>
      <c r="D58" s="26"/>
      <c r="E58" s="26"/>
      <c r="F58" s="26"/>
      <c r="G58" s="26"/>
      <c r="H58" s="26"/>
      <c r="I58" s="26"/>
      <c r="J58" s="52">
        <f>SUM(J54:J57)</f>
        <v>0</v>
      </c>
      <c r="K58" s="156"/>
      <c r="L58" s="175"/>
      <c r="M58" s="280">
        <f>SUM(M54:M57)</f>
        <v>0</v>
      </c>
      <c r="N58" s="156"/>
      <c r="O58" s="48"/>
      <c r="P58" s="280">
        <f>SUM(P54:P57)</f>
        <v>0</v>
      </c>
      <c r="Q58" s="29"/>
      <c r="S58"/>
    </row>
    <row r="59" spans="1:17" ht="10.5" customHeight="1">
      <c r="A59" s="1"/>
      <c r="B59" s="1"/>
      <c r="C59" s="28"/>
      <c r="D59" s="26"/>
      <c r="E59" s="26"/>
      <c r="F59" s="26"/>
      <c r="G59" s="26"/>
      <c r="H59" s="26"/>
      <c r="I59" s="26"/>
      <c r="J59" s="52"/>
      <c r="K59" s="153"/>
      <c r="L59" s="172"/>
      <c r="M59" s="42"/>
      <c r="N59" s="153"/>
      <c r="O59" s="46"/>
      <c r="P59" s="42"/>
      <c r="Q59" s="6"/>
    </row>
    <row r="60" spans="1:19" ht="15.75">
      <c r="A60" s="22" t="s">
        <v>33</v>
      </c>
      <c r="B60" s="22" t="s">
        <v>34</v>
      </c>
      <c r="C60" s="21"/>
      <c r="D60" s="21"/>
      <c r="E60" s="21"/>
      <c r="F60" s="21"/>
      <c r="G60" s="1"/>
      <c r="H60" s="1"/>
      <c r="I60" s="1"/>
      <c r="J60" s="54" t="s">
        <v>1</v>
      </c>
      <c r="K60" s="154"/>
      <c r="L60" s="173"/>
      <c r="M60" s="42" t="s">
        <v>1</v>
      </c>
      <c r="N60" s="154"/>
      <c r="O60" s="50"/>
      <c r="P60" s="42"/>
      <c r="Q60" s="5"/>
      <c r="S60" s="31"/>
    </row>
    <row r="61" spans="1:17" ht="15.75">
      <c r="A61" s="21"/>
      <c r="B61" s="21"/>
      <c r="C61" s="13" t="s">
        <v>35</v>
      </c>
      <c r="D61" s="3"/>
      <c r="E61" s="31"/>
      <c r="F61" s="31"/>
      <c r="J61" s="42">
        <v>0</v>
      </c>
      <c r="K61" s="154"/>
      <c r="L61" s="173"/>
      <c r="M61" s="42">
        <f aca="true" t="shared" si="10" ref="M61:M67">ROUND((J61*1.02),0)</f>
        <v>0</v>
      </c>
      <c r="N61" s="164"/>
      <c r="O61" s="144"/>
      <c r="P61" s="42">
        <f aca="true" t="shared" si="11" ref="P61:P72">SUM(J61:O61)</f>
        <v>0</v>
      </c>
      <c r="Q61" s="5"/>
    </row>
    <row r="62" spans="1:17" ht="15.75">
      <c r="A62" s="21"/>
      <c r="B62" s="21"/>
      <c r="C62" s="13" t="s">
        <v>36</v>
      </c>
      <c r="D62" s="3"/>
      <c r="E62" s="31"/>
      <c r="F62" s="31"/>
      <c r="J62" s="42">
        <v>0</v>
      </c>
      <c r="K62" s="154"/>
      <c r="L62" s="173"/>
      <c r="M62" s="42">
        <f t="shared" si="10"/>
        <v>0</v>
      </c>
      <c r="N62" s="164"/>
      <c r="O62" s="144"/>
      <c r="P62" s="42">
        <f t="shared" si="11"/>
        <v>0</v>
      </c>
      <c r="Q62" s="5"/>
    </row>
    <row r="63" spans="1:17" ht="15.75">
      <c r="A63" s="21"/>
      <c r="B63" s="21"/>
      <c r="C63" s="13" t="s">
        <v>37</v>
      </c>
      <c r="D63" s="3"/>
      <c r="E63" s="31"/>
      <c r="F63" s="31"/>
      <c r="J63" s="42">
        <v>0</v>
      </c>
      <c r="K63" s="154"/>
      <c r="L63" s="173"/>
      <c r="M63" s="42">
        <f t="shared" si="10"/>
        <v>0</v>
      </c>
      <c r="N63" s="164"/>
      <c r="O63" s="144"/>
      <c r="P63" s="42">
        <f t="shared" si="11"/>
        <v>0</v>
      </c>
      <c r="Q63" s="5"/>
    </row>
    <row r="64" spans="1:17" ht="15.75">
      <c r="A64" s="21"/>
      <c r="B64" s="21"/>
      <c r="C64" s="13" t="s">
        <v>38</v>
      </c>
      <c r="D64" s="3"/>
      <c r="E64" s="31"/>
      <c r="F64" s="31"/>
      <c r="J64" s="42">
        <v>0</v>
      </c>
      <c r="K64" s="154"/>
      <c r="L64" s="173"/>
      <c r="M64" s="42">
        <f t="shared" si="10"/>
        <v>0</v>
      </c>
      <c r="N64" s="164"/>
      <c r="O64" s="144"/>
      <c r="P64" s="42">
        <f t="shared" si="11"/>
        <v>0</v>
      </c>
      <c r="Q64" s="5"/>
    </row>
    <row r="65" spans="1:17" ht="15.75">
      <c r="A65" s="21"/>
      <c r="B65" s="21"/>
      <c r="C65" s="227" t="s">
        <v>102</v>
      </c>
      <c r="D65" s="3"/>
      <c r="E65" s="31"/>
      <c r="F65" s="31"/>
      <c r="J65" s="42">
        <v>0</v>
      </c>
      <c r="K65" s="154"/>
      <c r="L65" s="173"/>
      <c r="M65" s="42">
        <f t="shared" si="10"/>
        <v>0</v>
      </c>
      <c r="N65" s="164"/>
      <c r="O65" s="144"/>
      <c r="P65" s="42">
        <f t="shared" si="11"/>
        <v>0</v>
      </c>
      <c r="Q65" s="5"/>
    </row>
    <row r="66" spans="1:17" ht="15.75">
      <c r="A66" s="21"/>
      <c r="B66" s="21"/>
      <c r="C66" s="13" t="s">
        <v>236</v>
      </c>
      <c r="D66" s="3"/>
      <c r="E66" s="31"/>
      <c r="F66" s="31"/>
      <c r="J66" s="42">
        <v>0</v>
      </c>
      <c r="K66" s="154"/>
      <c r="L66" s="173"/>
      <c r="M66" s="42">
        <f t="shared" si="10"/>
        <v>0</v>
      </c>
      <c r="N66" s="165"/>
      <c r="O66" s="42"/>
      <c r="P66" s="42">
        <f t="shared" si="11"/>
        <v>0</v>
      </c>
      <c r="Q66" s="5"/>
    </row>
    <row r="67" spans="1:17" ht="15.75">
      <c r="A67" s="21"/>
      <c r="B67" s="21"/>
      <c r="C67" s="13" t="s">
        <v>39</v>
      </c>
      <c r="D67" s="21"/>
      <c r="E67" s="21"/>
      <c r="F67" s="21"/>
      <c r="G67" s="1"/>
      <c r="H67" s="1"/>
      <c r="I67" s="1"/>
      <c r="J67" s="42">
        <v>0</v>
      </c>
      <c r="K67" s="154"/>
      <c r="L67" s="173"/>
      <c r="M67" s="42">
        <f t="shared" si="10"/>
        <v>0</v>
      </c>
      <c r="N67" s="165"/>
      <c r="O67" s="42"/>
      <c r="P67" s="42">
        <f t="shared" si="11"/>
        <v>0</v>
      </c>
      <c r="Q67" s="5"/>
    </row>
    <row r="68" spans="1:18" ht="15.75">
      <c r="A68" s="21"/>
      <c r="B68" s="21"/>
      <c r="C68" s="22" t="s">
        <v>40</v>
      </c>
      <c r="D68" s="10"/>
      <c r="E68" s="31"/>
      <c r="F68" s="31"/>
      <c r="J68" s="42">
        <v>0</v>
      </c>
      <c r="K68" s="154"/>
      <c r="L68" s="173"/>
      <c r="M68" s="42">
        <v>0</v>
      </c>
      <c r="N68" s="164"/>
      <c r="O68" s="144"/>
      <c r="P68" s="42">
        <f t="shared" si="11"/>
        <v>0</v>
      </c>
      <c r="Q68" s="5"/>
      <c r="R68" s="76"/>
    </row>
    <row r="69" spans="1:18" ht="15.75">
      <c r="A69" s="21"/>
      <c r="B69" s="21"/>
      <c r="C69" s="63" t="s">
        <v>41</v>
      </c>
      <c r="D69" s="10"/>
      <c r="E69" s="31"/>
      <c r="F69" s="31"/>
      <c r="J69" s="42">
        <v>0</v>
      </c>
      <c r="K69" s="154"/>
      <c r="L69" s="173"/>
      <c r="M69" s="42">
        <v>0</v>
      </c>
      <c r="N69" s="164"/>
      <c r="O69" s="144"/>
      <c r="P69" s="42">
        <f t="shared" si="11"/>
        <v>0</v>
      </c>
      <c r="Q69" s="5"/>
      <c r="R69" s="76"/>
    </row>
    <row r="70" spans="1:18" ht="15.75">
      <c r="A70" s="21"/>
      <c r="B70" s="21"/>
      <c r="C70" s="63" t="s">
        <v>94</v>
      </c>
      <c r="D70" s="10"/>
      <c r="E70" s="31"/>
      <c r="F70" s="31"/>
      <c r="J70" s="42">
        <v>0</v>
      </c>
      <c r="K70" s="154"/>
      <c r="L70" s="173"/>
      <c r="M70" s="42">
        <v>0</v>
      </c>
      <c r="N70" s="164"/>
      <c r="O70" s="144"/>
      <c r="P70" s="42">
        <f t="shared" si="11"/>
        <v>0</v>
      </c>
      <c r="Q70" s="5"/>
      <c r="R70" s="76"/>
    </row>
    <row r="71" spans="1:18" ht="15">
      <c r="A71" s="21"/>
      <c r="B71" s="21"/>
      <c r="C71" s="63" t="s">
        <v>95</v>
      </c>
      <c r="D71" s="10"/>
      <c r="E71" s="31"/>
      <c r="F71" s="31"/>
      <c r="J71" s="42">
        <v>0</v>
      </c>
      <c r="K71" s="154"/>
      <c r="L71" s="173"/>
      <c r="M71" s="42">
        <v>0</v>
      </c>
      <c r="N71" s="164"/>
      <c r="O71" s="144"/>
      <c r="P71" s="42">
        <f t="shared" si="11"/>
        <v>0</v>
      </c>
      <c r="Q71" s="5"/>
      <c r="R71" s="76"/>
    </row>
    <row r="72" spans="1:18" ht="15">
      <c r="A72" s="40" t="s">
        <v>42</v>
      </c>
      <c r="D72" s="28"/>
      <c r="E72" s="28"/>
      <c r="F72" s="28"/>
      <c r="G72" s="28"/>
      <c r="H72" s="28"/>
      <c r="I72" s="28"/>
      <c r="J72" s="51">
        <f>SUM(J61:J71)</f>
        <v>0</v>
      </c>
      <c r="K72" s="157"/>
      <c r="L72" s="176"/>
      <c r="M72" s="43">
        <f>SUM(M61:M71)</f>
        <v>0</v>
      </c>
      <c r="N72" s="157"/>
      <c r="O72" s="44"/>
      <c r="P72" s="43">
        <f t="shared" si="11"/>
        <v>0</v>
      </c>
      <c r="Q72" s="34"/>
      <c r="R72" s="76"/>
    </row>
    <row r="73" spans="1:17" ht="7.5" customHeight="1">
      <c r="A73" s="21"/>
      <c r="B73" s="21"/>
      <c r="C73" s="26"/>
      <c r="D73" s="28"/>
      <c r="E73" s="28"/>
      <c r="F73" s="28"/>
      <c r="G73" s="26"/>
      <c r="H73" s="26"/>
      <c r="I73" s="26"/>
      <c r="J73" s="52"/>
      <c r="K73" s="153"/>
      <c r="L73" s="172"/>
      <c r="M73" s="46"/>
      <c r="N73" s="153"/>
      <c r="O73" s="46"/>
      <c r="P73" s="46" t="s">
        <v>1</v>
      </c>
      <c r="Q73" s="6"/>
    </row>
    <row r="74" spans="1:17" ht="16.5">
      <c r="A74" s="28"/>
      <c r="B74" s="28"/>
      <c r="C74" s="28"/>
      <c r="D74" s="21"/>
      <c r="E74" s="32" t="s">
        <v>43</v>
      </c>
      <c r="F74" s="32"/>
      <c r="G74" s="39"/>
      <c r="H74" s="39"/>
      <c r="I74" s="39"/>
      <c r="J74" s="65">
        <f>ROUND(+J72+J51+J46+J41+J58,0)</f>
        <v>0</v>
      </c>
      <c r="K74" s="158"/>
      <c r="L74" s="177"/>
      <c r="M74" s="65">
        <f>ROUND(+M72+M51+M46+M41+M58,0)</f>
        <v>0</v>
      </c>
      <c r="N74" s="158"/>
      <c r="O74" s="65"/>
      <c r="P74" s="65">
        <f>SUM(J74:O74)</f>
        <v>0</v>
      </c>
      <c r="Q74" s="34"/>
    </row>
    <row r="75" spans="1:16" ht="7.5" customHeight="1">
      <c r="A75" s="28"/>
      <c r="B75" s="28"/>
      <c r="C75" s="28"/>
      <c r="D75" s="21"/>
      <c r="E75" s="32"/>
      <c r="F75" s="32"/>
      <c r="G75" s="39"/>
      <c r="H75" s="39"/>
      <c r="I75" s="39"/>
      <c r="J75" s="66"/>
      <c r="K75" s="158"/>
      <c r="L75" s="177"/>
      <c r="M75" s="65"/>
      <c r="N75" s="166"/>
      <c r="O75" s="192"/>
      <c r="P75" s="65"/>
    </row>
    <row r="76" spans="1:18" ht="15">
      <c r="A76" s="28"/>
      <c r="B76" s="28"/>
      <c r="C76" s="28"/>
      <c r="D76" s="21"/>
      <c r="G76" s="39"/>
      <c r="H76" s="92" t="s">
        <v>117</v>
      </c>
      <c r="I76" s="39"/>
      <c r="J76" s="74">
        <f>(IF((J68)&gt;25000,(25000),J68)+((IF((J69)&gt;25000,(25000),J69))+((IF((J70)&gt;25000,(25000),J70))+((IF((J71)&gt;25000,(25000),J71))+SUM(J74-J46-J65-J68-J69-J70-J71-J58)))))</f>
        <v>0</v>
      </c>
      <c r="K76" s="159"/>
      <c r="L76" s="178"/>
      <c r="M76" s="74">
        <f>IF(J68&gt;=(25000),0,((IF((J68+M68)&lt;=(25000),M68,(25000-J68)))))+IF(J69&gt;=(25000),0,((IF((J69+M69)&lt;=(25000),M69,(25000-J69)))))+IF(J70&gt;=(25000),0,((IF((J70+M70)&lt;=(25000),M70,(25000-J70)))))+IF(J71&gt;=(25000),0,((IF((J71+M71)&lt;=(25000),M71,(25000-J71)))))+SUM(M74-M46-M65-M68-M69-M70-M71-M58)</f>
        <v>0</v>
      </c>
      <c r="N76" s="159"/>
      <c r="O76" s="193"/>
      <c r="P76" s="74">
        <f>SUM(J76:O76)</f>
        <v>0</v>
      </c>
      <c r="R76" s="76"/>
    </row>
    <row r="77" spans="1:17" ht="15">
      <c r="A77" s="33" t="s">
        <v>116</v>
      </c>
      <c r="B77" s="1"/>
      <c r="C77" s="1"/>
      <c r="J77" s="42"/>
      <c r="K77" s="160"/>
      <c r="L77" s="179"/>
      <c r="M77" s="50"/>
      <c r="N77" s="160"/>
      <c r="O77" s="56"/>
      <c r="P77" s="50"/>
      <c r="Q77" s="5"/>
    </row>
    <row r="78" spans="1:17" ht="15">
      <c r="A78" s="13" t="s">
        <v>119</v>
      </c>
      <c r="B78" s="1"/>
      <c r="D78" s="7">
        <f>IF(AND(($E$89)="R",($E$91)="C"),('RATES-Fed'!E46),IF(AND(($E$89)="R",($E$91)="O"),('RATES-Fed'!E51),IF(AND(($E$89)="I",($E$91)="C"),('RATES-Fed'!E47),IF(AND(($E$89)="I",($E$91)="O"),('RATES-Fed'!E52),IF(AND(($E$89)="P",($E$91)="C"),('RATES-Fed'!E48),IF(AND(($E$89)="P",($E$91)="O"),('RATES-Fed'!E53),($E$90)))))))</f>
        <v>0.6175</v>
      </c>
      <c r="E78" s="7">
        <f>IF(AND(($E$89)="R",($E$91)="C"),('RATES-Fed'!G46),IF(AND(($E$89)="R",($E$91)="O"),('RATES-Fed'!G51),IF(AND(($E$89)="I",($E$91)="C"),('RATES-Fed'!G47),IF(AND(($E$89)="I",($E$91)="O"),('RATES-Fed'!G52),IF(AND(($E$89)="P",($E$91)="C"),('RATES-Fed'!G48),IF(AND(($E$89)="P",($E$91)="O"),('RATES-Fed'!G53),($E$90)))))))</f>
        <v>0.62</v>
      </c>
      <c r="F78" s="7"/>
      <c r="G78" s="7"/>
      <c r="H78" s="7"/>
      <c r="J78" s="50">
        <f>ROUND(+D78*(J74-J46-J68-J69-J70-J71-J65-J58),0)</f>
        <v>0</v>
      </c>
      <c r="K78" s="154"/>
      <c r="L78" s="173"/>
      <c r="M78" s="50">
        <f>ROUND(+E78*(M74-M46-M68-M69-M70-M71-M65-M58),0)</f>
        <v>0</v>
      </c>
      <c r="N78" s="154"/>
      <c r="O78" s="50"/>
      <c r="P78" s="50">
        <f aca="true" t="shared" si="12" ref="P78:P83">SUM(J78:O78)</f>
        <v>0</v>
      </c>
      <c r="Q78" s="5"/>
    </row>
    <row r="79" spans="1:17" ht="15">
      <c r="A79" s="13" t="s">
        <v>44</v>
      </c>
      <c r="D79" s="7">
        <f aca="true" t="shared" si="13" ref="D79:E81">+D78</f>
        <v>0.6175</v>
      </c>
      <c r="E79" s="7">
        <f t="shared" si="13"/>
        <v>0.62</v>
      </c>
      <c r="F79" s="7"/>
      <c r="G79" s="7"/>
      <c r="H79" s="7"/>
      <c r="J79" s="50">
        <f>(IF((J68)&gt;25000,(25000),J68)*D79)</f>
        <v>0</v>
      </c>
      <c r="K79" s="50"/>
      <c r="L79" s="50"/>
      <c r="M79" s="50">
        <f>IF(J68&gt;=(25000),0,((IF((J68+M68)&lt;=(25000),M68,(25000-J68))))*E79)</f>
        <v>0</v>
      </c>
      <c r="N79" s="154"/>
      <c r="O79" s="50"/>
      <c r="P79" s="50">
        <f t="shared" si="12"/>
        <v>0</v>
      </c>
      <c r="Q79" s="5"/>
    </row>
    <row r="80" spans="1:17" ht="15">
      <c r="A80" s="13" t="s">
        <v>45</v>
      </c>
      <c r="D80" s="7">
        <f t="shared" si="13"/>
        <v>0.6175</v>
      </c>
      <c r="E80" s="7">
        <f t="shared" si="13"/>
        <v>0.62</v>
      </c>
      <c r="F80" s="7"/>
      <c r="G80" s="7"/>
      <c r="H80" s="7"/>
      <c r="J80" s="50">
        <f>(IF((J69)&gt;25000,(25000),J69)*D80)</f>
        <v>0</v>
      </c>
      <c r="K80" s="263"/>
      <c r="L80" s="173"/>
      <c r="M80" s="50">
        <f>IF(J69&gt;=(25000),0,((IF((J69+M69)&lt;=(25000),M69,(25000-J69))))*E80)</f>
        <v>0</v>
      </c>
      <c r="N80" s="154"/>
      <c r="O80" s="50"/>
      <c r="P80" s="50">
        <f t="shared" si="12"/>
        <v>0</v>
      </c>
      <c r="Q80" s="5"/>
    </row>
    <row r="81" spans="1:17" ht="15">
      <c r="A81" s="13" t="s">
        <v>92</v>
      </c>
      <c r="D81" s="7">
        <f t="shared" si="13"/>
        <v>0.6175</v>
      </c>
      <c r="E81" s="7">
        <f t="shared" si="13"/>
        <v>0.62</v>
      </c>
      <c r="F81" s="7"/>
      <c r="G81" s="7"/>
      <c r="H81" s="7"/>
      <c r="J81" s="50">
        <f>(IF((J70)&gt;25000,(25000),J70)*D81)</f>
        <v>0</v>
      </c>
      <c r="K81" s="263"/>
      <c r="L81" s="173"/>
      <c r="M81" s="50">
        <f>IF(J70&gt;=(25000),0,((IF((J70+M70)&lt;=(25000),M70,(25000-J70))))*E81)</f>
        <v>0</v>
      </c>
      <c r="N81" s="154"/>
      <c r="O81" s="50"/>
      <c r="P81" s="50">
        <f t="shared" si="12"/>
        <v>0</v>
      </c>
      <c r="Q81" s="5"/>
    </row>
    <row r="82" spans="1:17" ht="15">
      <c r="A82" s="13" t="s">
        <v>93</v>
      </c>
      <c r="B82" s="1"/>
      <c r="C82" s="1"/>
      <c r="D82" s="7">
        <f>+D79</f>
        <v>0.6175</v>
      </c>
      <c r="E82" s="7">
        <f>+E79</f>
        <v>0.62</v>
      </c>
      <c r="F82" s="7"/>
      <c r="G82" s="7"/>
      <c r="H82" s="7"/>
      <c r="J82" s="50">
        <f>(IF((J71)&gt;25000,(25000),J71)*D82)</f>
        <v>0</v>
      </c>
      <c r="K82" s="263"/>
      <c r="L82" s="173"/>
      <c r="M82" s="50">
        <f>IF(J71&gt;=(25000),0,((IF((J71+M71)&lt;=(25000),M71,(25000-J71))))*E82)</f>
        <v>0</v>
      </c>
      <c r="N82" s="154"/>
      <c r="O82" s="50"/>
      <c r="P82" s="50">
        <f t="shared" si="12"/>
        <v>0</v>
      </c>
      <c r="Q82" s="5"/>
    </row>
    <row r="83" spans="1:17" ht="15">
      <c r="A83" s="40" t="s">
        <v>118</v>
      </c>
      <c r="B83" s="1"/>
      <c r="C83" s="24"/>
      <c r="D83" s="35"/>
      <c r="E83" s="7"/>
      <c r="F83" s="7"/>
      <c r="G83" s="7"/>
      <c r="H83" s="7"/>
      <c r="I83" s="7"/>
      <c r="J83" s="53">
        <f>SUM(J78:J82)</f>
        <v>0</v>
      </c>
      <c r="K83" s="157"/>
      <c r="L83" s="176"/>
      <c r="M83" s="53">
        <f>SUM(M78:M82)</f>
        <v>0</v>
      </c>
      <c r="N83" s="157"/>
      <c r="O83" s="44"/>
      <c r="P83" s="53">
        <f t="shared" si="12"/>
        <v>0</v>
      </c>
      <c r="Q83" s="5"/>
    </row>
    <row r="84" spans="1:17" ht="6.75" customHeight="1">
      <c r="A84" s="40"/>
      <c r="B84" s="1"/>
      <c r="C84" s="24"/>
      <c r="D84" s="35"/>
      <c r="E84" s="7"/>
      <c r="F84" s="7"/>
      <c r="G84" s="7"/>
      <c r="H84" s="7"/>
      <c r="I84" s="7"/>
      <c r="J84" s="61"/>
      <c r="K84" s="157"/>
      <c r="L84" s="176"/>
      <c r="M84" s="62"/>
      <c r="N84" s="157"/>
      <c r="O84" s="44"/>
      <c r="P84" s="62"/>
      <c r="Q84" s="5"/>
    </row>
    <row r="85" spans="1:17" ht="18" thickBot="1">
      <c r="A85" s="40"/>
      <c r="B85" s="1"/>
      <c r="C85" s="60" t="s">
        <v>46</v>
      </c>
      <c r="D85" s="35"/>
      <c r="E85" s="7"/>
      <c r="F85" s="7"/>
      <c r="G85" s="7"/>
      <c r="H85" s="7"/>
      <c r="I85" s="7"/>
      <c r="J85" s="72">
        <f>J83+J74</f>
        <v>0</v>
      </c>
      <c r="K85" s="158"/>
      <c r="L85" s="177"/>
      <c r="M85" s="72">
        <f>M83+M74</f>
        <v>0</v>
      </c>
      <c r="N85" s="158"/>
      <c r="O85" s="65"/>
      <c r="P85" s="72">
        <f>SUM(J85:O85)</f>
        <v>0</v>
      </c>
      <c r="Q85" s="5"/>
    </row>
    <row r="86" spans="1:17" ht="8.25" customHeight="1" thickTop="1">
      <c r="A86" s="28"/>
      <c r="B86" s="1"/>
      <c r="C86" s="35"/>
      <c r="D86" s="7"/>
      <c r="E86" s="7"/>
      <c r="F86" s="7"/>
      <c r="G86" s="7"/>
      <c r="H86" s="7"/>
      <c r="I86" s="7"/>
      <c r="J86" s="50"/>
      <c r="K86" s="154"/>
      <c r="L86" s="173"/>
      <c r="M86" s="50"/>
      <c r="N86" s="154"/>
      <c r="O86" s="50"/>
      <c r="P86" s="50" t="s">
        <v>1</v>
      </c>
      <c r="Q86" s="5"/>
    </row>
    <row r="87" spans="1:17" ht="9" customHeight="1">
      <c r="A87" s="1"/>
      <c r="B87" s="1"/>
      <c r="C87" s="1"/>
      <c r="D87" s="1"/>
      <c r="E87" s="1"/>
      <c r="F87" s="1"/>
      <c r="G87" s="1"/>
      <c r="H87" s="1"/>
      <c r="I87" s="1"/>
      <c r="J87" s="49"/>
      <c r="K87" s="161"/>
      <c r="L87" s="180"/>
      <c r="M87" s="58"/>
      <c r="N87" s="161"/>
      <c r="O87" s="57"/>
      <c r="P87" s="58"/>
      <c r="Q87" s="1"/>
    </row>
    <row r="88" ht="15">
      <c r="C88" s="36" t="s">
        <v>120</v>
      </c>
    </row>
    <row r="89" spans="3:7" ht="15">
      <c r="C89" s="14" t="s">
        <v>47</v>
      </c>
      <c r="E89" s="15" t="s">
        <v>48</v>
      </c>
      <c r="G89" s="14" t="s">
        <v>49</v>
      </c>
    </row>
    <row r="90" spans="3:6" ht="15">
      <c r="C90" s="14" t="s">
        <v>177</v>
      </c>
      <c r="E90" s="9">
        <v>0</v>
      </c>
      <c r="F90" s="9"/>
    </row>
    <row r="91" spans="3:7" ht="15">
      <c r="C91" s="14" t="s">
        <v>50</v>
      </c>
      <c r="E91" s="15" t="s">
        <v>51</v>
      </c>
      <c r="G91" s="14" t="s">
        <v>52</v>
      </c>
    </row>
    <row r="94" spans="4:13" ht="15">
      <c r="D94" s="216" t="s">
        <v>199</v>
      </c>
      <c r="H94" s="214">
        <f>+'RATES-Fed'!E31</f>
        <v>0.605</v>
      </c>
      <c r="J94" s="213">
        <f>J83/12*'RATES-Fed'!$C$46</f>
        <v>0</v>
      </c>
      <c r="L94" s="214">
        <f>+'RATES-Fed'!G31</f>
        <v>0.62</v>
      </c>
      <c r="M94" s="213">
        <f>M83/12*'RATES-Fed'!$C$46</f>
        <v>0</v>
      </c>
    </row>
    <row r="95" spans="4:16" ht="17.25">
      <c r="D95" s="307" t="s">
        <v>200</v>
      </c>
      <c r="E95" s="307"/>
      <c r="F95" s="307"/>
      <c r="G95" s="307"/>
      <c r="H95" s="214">
        <f>+'RATES-Fed'!G31</f>
        <v>0.62</v>
      </c>
      <c r="J95" s="213">
        <f>J83/12*'RATES-Fed'!$D$46</f>
        <v>0</v>
      </c>
      <c r="L95" s="214">
        <f>+'RATES-Fed'!I31</f>
        <v>0.62</v>
      </c>
      <c r="M95" s="213">
        <f>M83/12*'RATES-Fed'!$D$46</f>
        <v>0</v>
      </c>
      <c r="N95" s="318">
        <f>'RATES-Fed'!Q67</f>
        <v>0</v>
      </c>
      <c r="O95" s="318"/>
      <c r="P95" s="318"/>
    </row>
    <row r="96" spans="4:13" ht="15">
      <c r="D96" s="307"/>
      <c r="E96" s="307"/>
      <c r="F96" s="307"/>
      <c r="G96" s="307"/>
      <c r="J96" s="213">
        <f>SUM(J94:J95)</f>
        <v>0</v>
      </c>
      <c r="M96" s="213">
        <f>SUM(M94:M95)</f>
        <v>0</v>
      </c>
    </row>
  </sheetData>
  <sheetProtection/>
  <mergeCells count="5">
    <mergeCell ref="K4:O5"/>
    <mergeCell ref="J8:L8"/>
    <mergeCell ref="M8:O8"/>
    <mergeCell ref="N95:P95"/>
    <mergeCell ref="D95:G96"/>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portrait" scale="53"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95"/>
  <sheetViews>
    <sheetView showGridLines="0" zoomScale="75" zoomScaleNormal="75" workbookViewId="0" topLeftCell="A1">
      <selection activeCell="D11" sqref="D1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2" bestFit="1" customWidth="1"/>
    <col min="12" max="12" width="10.125" style="181" bestFit="1" customWidth="1"/>
    <col min="13" max="13" width="11.25390625" style="0" customWidth="1"/>
    <col min="14" max="14" width="9.25390625" style="162" bestFit="1" customWidth="1"/>
    <col min="15" max="15" width="9.50390625" style="90" bestFit="1" customWidth="1"/>
    <col min="16" max="16" width="11.25390625" style="0" customWidth="1"/>
    <col min="17" max="17" width="9.25390625" style="162" bestFit="1" customWidth="1"/>
    <col min="18" max="18" width="8.75390625" style="90" bestFit="1" customWidth="1"/>
    <col min="19" max="19" width="14.625" style="0" customWidth="1"/>
    <col min="20" max="20" width="2.625" style="0" customWidth="1"/>
  </cols>
  <sheetData>
    <row r="1" spans="1:18" ht="18.75">
      <c r="A1" s="17" t="s">
        <v>0</v>
      </c>
      <c r="B1" s="18"/>
      <c r="C1" s="18"/>
      <c r="D1" s="18"/>
      <c r="E1" s="18"/>
      <c r="F1" s="18"/>
      <c r="G1" s="18"/>
      <c r="H1" s="18"/>
      <c r="I1" s="18"/>
      <c r="J1" s="19"/>
      <c r="K1" s="148"/>
      <c r="L1" s="169"/>
      <c r="M1" s="37"/>
      <c r="N1" s="163"/>
      <c r="O1" s="191"/>
      <c r="P1" s="37"/>
      <c r="Q1" s="163"/>
      <c r="R1" s="191"/>
    </row>
    <row r="2" spans="1:19" ht="18.75">
      <c r="A2" s="17" t="s">
        <v>187</v>
      </c>
      <c r="B2" s="18"/>
      <c r="C2" s="18"/>
      <c r="D2" s="18"/>
      <c r="E2" s="18"/>
      <c r="F2" s="18"/>
      <c r="G2" s="18"/>
      <c r="H2" s="18"/>
      <c r="I2" s="18"/>
      <c r="J2" s="19"/>
      <c r="K2" s="148"/>
      <c r="L2" s="169"/>
      <c r="M2" s="37"/>
      <c r="N2" s="163"/>
      <c r="O2" s="191"/>
      <c r="P2" s="37"/>
      <c r="Q2" s="163"/>
      <c r="R2" s="191"/>
      <c r="S2" s="37"/>
    </row>
    <row r="3" spans="1:19" ht="9.75" customHeight="1">
      <c r="A3" s="10" t="s">
        <v>1</v>
      </c>
      <c r="B3" s="1"/>
      <c r="J3" s="11" t="s">
        <v>1</v>
      </c>
      <c r="K3" s="149"/>
      <c r="L3" s="170"/>
      <c r="M3" s="8"/>
      <c r="P3" s="8"/>
      <c r="S3" s="8"/>
    </row>
    <row r="4" spans="1:19" ht="15.75">
      <c r="A4" s="22" t="s">
        <v>2</v>
      </c>
      <c r="B4" s="1"/>
      <c r="D4" s="10" t="s">
        <v>70</v>
      </c>
      <c r="G4" s="3"/>
      <c r="J4" s="20" t="s">
        <v>3</v>
      </c>
      <c r="K4" s="308" t="s">
        <v>70</v>
      </c>
      <c r="L4" s="309"/>
      <c r="M4" s="310"/>
      <c r="N4" s="310"/>
      <c r="O4" s="310"/>
      <c r="P4" s="310"/>
      <c r="Q4" s="310"/>
      <c r="R4" s="311"/>
      <c r="S4" s="8"/>
    </row>
    <row r="5" spans="1:19" ht="18.75">
      <c r="A5" s="22" t="s">
        <v>4</v>
      </c>
      <c r="B5" s="1"/>
      <c r="D5" s="10" t="s">
        <v>70</v>
      </c>
      <c r="E5" s="3"/>
      <c r="F5" s="3"/>
      <c r="H5" s="2"/>
      <c r="I5" s="2"/>
      <c r="J5" s="38"/>
      <c r="K5" s="312"/>
      <c r="L5" s="313"/>
      <c r="M5" s="313"/>
      <c r="N5" s="313"/>
      <c r="O5" s="313"/>
      <c r="P5" s="313"/>
      <c r="Q5" s="313"/>
      <c r="R5" s="314"/>
      <c r="S5" s="8"/>
    </row>
    <row r="6" spans="1:19" ht="15.75">
      <c r="A6" s="14"/>
      <c r="B6" s="22" t="s">
        <v>5</v>
      </c>
      <c r="D6" s="73">
        <f>'RATES-Fed'!E2</f>
        <v>44317</v>
      </c>
      <c r="E6" s="12" t="s">
        <v>6</v>
      </c>
      <c r="F6" s="12"/>
      <c r="G6" s="73">
        <f>'RATES-Fed'!G2</f>
        <v>46142</v>
      </c>
      <c r="H6" s="4"/>
      <c r="I6" s="4"/>
      <c r="J6" s="2"/>
      <c r="K6" s="150"/>
      <c r="L6" s="171"/>
      <c r="M6" s="3"/>
      <c r="N6" s="150"/>
      <c r="O6" s="145"/>
      <c r="P6" s="3"/>
      <c r="Q6" s="150"/>
      <c r="R6" s="145"/>
      <c r="S6" s="8"/>
    </row>
    <row r="7" spans="5:20" ht="7.5" customHeight="1">
      <c r="E7" s="3"/>
      <c r="F7" s="3"/>
      <c r="G7" s="1"/>
      <c r="H7" s="1"/>
      <c r="I7" s="1"/>
      <c r="J7" s="16" t="s">
        <v>1</v>
      </c>
      <c r="K7" s="149"/>
      <c r="L7" s="170"/>
      <c r="M7" s="8"/>
      <c r="N7" s="149"/>
      <c r="O7" s="139"/>
      <c r="P7" s="8"/>
      <c r="Q7" s="149"/>
      <c r="R7" s="139"/>
      <c r="S7" s="8"/>
      <c r="T7" s="1"/>
    </row>
    <row r="8" spans="1:20" ht="15.75">
      <c r="A8" s="21"/>
      <c r="B8" s="21"/>
      <c r="C8" s="21"/>
      <c r="D8" s="21"/>
      <c r="E8" s="21"/>
      <c r="F8" s="21"/>
      <c r="G8" s="21"/>
      <c r="H8" s="21"/>
      <c r="I8" s="21"/>
      <c r="J8" s="297" t="s">
        <v>21</v>
      </c>
      <c r="K8" s="298"/>
      <c r="L8" s="299"/>
      <c r="M8" s="315" t="s">
        <v>54</v>
      </c>
      <c r="N8" s="316"/>
      <c r="O8" s="317"/>
      <c r="P8" s="315" t="s">
        <v>56</v>
      </c>
      <c r="Q8" s="316"/>
      <c r="R8" s="317"/>
      <c r="S8" s="167" t="s">
        <v>8</v>
      </c>
      <c r="T8" s="21"/>
    </row>
    <row r="9" spans="1:20" s="143" customFormat="1" ht="15.75">
      <c r="A9" s="141" t="s">
        <v>9</v>
      </c>
      <c r="B9" s="141" t="s">
        <v>10</v>
      </c>
      <c r="C9" s="141"/>
      <c r="D9" s="141"/>
      <c r="E9" s="141"/>
      <c r="F9" s="141"/>
      <c r="G9" s="141"/>
      <c r="H9" s="141"/>
      <c r="I9" s="141"/>
      <c r="J9" s="185" t="s">
        <v>182</v>
      </c>
      <c r="K9" s="151" t="s">
        <v>183</v>
      </c>
      <c r="L9" s="141" t="s">
        <v>184</v>
      </c>
      <c r="M9" s="190" t="s">
        <v>182</v>
      </c>
      <c r="N9" s="151" t="s">
        <v>183</v>
      </c>
      <c r="O9" s="141" t="s">
        <v>184</v>
      </c>
      <c r="P9" s="190" t="s">
        <v>182</v>
      </c>
      <c r="Q9" s="151" t="s">
        <v>183</v>
      </c>
      <c r="R9" s="141" t="s">
        <v>184</v>
      </c>
      <c r="S9" s="142"/>
      <c r="T9" s="141"/>
    </row>
    <row r="10" spans="1:20" ht="15.75">
      <c r="A10" s="1"/>
      <c r="B10" s="23" t="s">
        <v>11</v>
      </c>
      <c r="C10" s="24"/>
      <c r="D10" s="24" t="s">
        <v>101</v>
      </c>
      <c r="E10" s="1" t="s">
        <v>12</v>
      </c>
      <c r="F10" s="41" t="s">
        <v>123</v>
      </c>
      <c r="G10" s="41" t="s">
        <v>13</v>
      </c>
      <c r="H10" s="1"/>
      <c r="I10" s="1"/>
      <c r="J10" s="186"/>
      <c r="K10" s="149"/>
      <c r="L10" s="139"/>
      <c r="M10" s="186"/>
      <c r="N10" s="149"/>
      <c r="O10" s="139"/>
      <c r="P10" s="186"/>
      <c r="Q10" s="149"/>
      <c r="R10" s="139"/>
      <c r="S10" s="2">
        <f>IF(SUM(J10:N10)=0,"",SUM(J10:N10))</f>
      </c>
      <c r="T10" s="1"/>
    </row>
    <row r="11" spans="1:20" ht="15.75">
      <c r="A11" s="1"/>
      <c r="B11" s="1" t="s">
        <v>14</v>
      </c>
      <c r="C11" s="10" t="str">
        <f>D5</f>
        <v>name</v>
      </c>
      <c r="D11" s="136" t="s">
        <v>125</v>
      </c>
      <c r="E11" s="70">
        <v>0</v>
      </c>
      <c r="F11" s="95">
        <f>IF(D11="CAL",(52*E11/4.3333),(IF(D11="ACAD",(36.35*E11/4.33333),IF(D11="SUMR",(15.65*E11/4.33333),IF(D11="PT",(0),0)))))</f>
        <v>0</v>
      </c>
      <c r="G11" s="69">
        <v>0</v>
      </c>
      <c r="J11" s="183">
        <f>ROUND(G11*E11,0)</f>
        <v>0</v>
      </c>
      <c r="K11" s="152">
        <f>ROUND(J11*'RATES-Fed'!E38,0)</f>
        <v>0</v>
      </c>
      <c r="L11" s="67">
        <f>ROUND(K11+J11,0)</f>
        <v>0</v>
      </c>
      <c r="M11" s="183">
        <f>ROUND((J11*1.025),0)</f>
        <v>0</v>
      </c>
      <c r="N11" s="152">
        <f>ROUND(M11*'RATES-Fed'!G38,0)</f>
        <v>0</v>
      </c>
      <c r="O11" s="67">
        <f aca="true" t="shared" si="0" ref="O11:O18">ROUND(M11+N11,0)</f>
        <v>0</v>
      </c>
      <c r="P11" s="183">
        <f>ROUND((M11*1.0275),0)</f>
        <v>0</v>
      </c>
      <c r="Q11" s="152">
        <f>ROUND(P11*'RATES-Fed'!I38,0)</f>
        <v>0</v>
      </c>
      <c r="R11" s="67">
        <f>SUM(P11:Q11)</f>
        <v>0</v>
      </c>
      <c r="S11" s="42">
        <f>SUM(L11+O11+R11)</f>
        <v>0</v>
      </c>
      <c r="T11" s="1"/>
    </row>
    <row r="12" spans="1:20" ht="15.75">
      <c r="A12" s="1"/>
      <c r="B12" s="1" t="s">
        <v>14</v>
      </c>
      <c r="C12" s="3"/>
      <c r="D12" s="136" t="str">
        <f>IF(D11="ACAD",("SUMR"),"")</f>
        <v>SUMR</v>
      </c>
      <c r="E12" s="70">
        <v>0</v>
      </c>
      <c r="F12" s="95">
        <f>IF(D12="CAL",(52*E12/4.3333),(IF(D12="ACAD",(36.35*E12/4.33333),IF(D12="SUMR",(15.65*E12/4.33333),IF(D12="PT",(0),0)))))</f>
        <v>0</v>
      </c>
      <c r="G12" s="69">
        <f>+G11*0.4375</f>
        <v>0</v>
      </c>
      <c r="J12" s="183">
        <f aca="true" t="shared" si="1" ref="J12:J18">ROUND(G12*E12,0)</f>
        <v>0</v>
      </c>
      <c r="K12" s="152">
        <f>ROUND(J12*'RATES-Fed'!E38,0)</f>
        <v>0</v>
      </c>
      <c r="L12" s="67">
        <f aca="true" t="shared" si="2" ref="L12:L18">ROUND(K12+J12,0)</f>
        <v>0</v>
      </c>
      <c r="M12" s="183">
        <f aca="true" t="shared" si="3" ref="M12:M18">ROUND((J12*1.025),0)</f>
        <v>0</v>
      </c>
      <c r="N12" s="152">
        <f>ROUND(M12*'RATES-Fed'!G38,0)</f>
        <v>0</v>
      </c>
      <c r="O12" s="67">
        <f t="shared" si="0"/>
        <v>0</v>
      </c>
      <c r="P12" s="183">
        <f aca="true" t="shared" si="4" ref="P12:P18">ROUND((M12*1.0275),0)</f>
        <v>0</v>
      </c>
      <c r="Q12" s="152">
        <f>ROUND(P12*'RATES-Fed'!I38,0)</f>
        <v>0</v>
      </c>
      <c r="R12" s="67">
        <f aca="true" t="shared" si="5" ref="R12:R18">SUM(P12:Q12)</f>
        <v>0</v>
      </c>
      <c r="S12" s="42">
        <f aca="true" t="shared" si="6" ref="S12:S18">SUM(L12+O12+R12)</f>
        <v>0</v>
      </c>
      <c r="T12" s="1"/>
    </row>
    <row r="13" spans="1:20" ht="15.75">
      <c r="A13" s="1"/>
      <c r="B13" s="1" t="s">
        <v>15</v>
      </c>
      <c r="C13" s="3"/>
      <c r="D13" s="136" t="s">
        <v>125</v>
      </c>
      <c r="E13" s="70">
        <v>0</v>
      </c>
      <c r="F13" s="95">
        <f aca="true" t="shared" si="7" ref="F13:F18">IF(D13="CAL",(52*E13/4.3333),(IF(D13="ACAD",(36.35*E13/4.33333),IF(D13="SUMR",(15.65*E13/4.33333),IF(D13="PT",(0),0)))))</f>
        <v>0</v>
      </c>
      <c r="G13" s="69">
        <v>0</v>
      </c>
      <c r="J13" s="183">
        <f t="shared" si="1"/>
        <v>0</v>
      </c>
      <c r="K13" s="152">
        <f>ROUND(J13*'RATES-Fed'!E38,0)</f>
        <v>0</v>
      </c>
      <c r="L13" s="67">
        <f t="shared" si="2"/>
        <v>0</v>
      </c>
      <c r="M13" s="183">
        <f t="shared" si="3"/>
        <v>0</v>
      </c>
      <c r="N13" s="152">
        <f>ROUND(M13*'RATES-Fed'!G38,0)</f>
        <v>0</v>
      </c>
      <c r="O13" s="67">
        <f t="shared" si="0"/>
        <v>0</v>
      </c>
      <c r="P13" s="183">
        <f t="shared" si="4"/>
        <v>0</v>
      </c>
      <c r="Q13" s="152">
        <f>ROUND(P13*'RATES-Fed'!I38,0)</f>
        <v>0</v>
      </c>
      <c r="R13" s="67">
        <f t="shared" si="5"/>
        <v>0</v>
      </c>
      <c r="S13" s="42">
        <f t="shared" si="6"/>
        <v>0</v>
      </c>
      <c r="T13" s="1"/>
    </row>
    <row r="14" spans="1:19" ht="15.75">
      <c r="A14" s="1"/>
      <c r="B14" s="1"/>
      <c r="C14" s="3"/>
      <c r="D14" s="136" t="str">
        <f>IF(D13="ACAD",("SUMR"),"")</f>
        <v>SUMR</v>
      </c>
      <c r="E14" s="70">
        <v>0</v>
      </c>
      <c r="F14" s="95">
        <f t="shared" si="7"/>
        <v>0</v>
      </c>
      <c r="G14" s="69">
        <f>+G13*0.4375</f>
        <v>0</v>
      </c>
      <c r="J14" s="183">
        <f t="shared" si="1"/>
        <v>0</v>
      </c>
      <c r="K14" s="152">
        <f>ROUND(J14*'RATES-Fed'!E38,0)</f>
        <v>0</v>
      </c>
      <c r="L14" s="67">
        <f t="shared" si="2"/>
        <v>0</v>
      </c>
      <c r="M14" s="183">
        <f t="shared" si="3"/>
        <v>0</v>
      </c>
      <c r="N14" s="152">
        <f>ROUND(M14*'RATES-Fed'!G38,0)</f>
        <v>0</v>
      </c>
      <c r="O14" s="67">
        <f t="shared" si="0"/>
        <v>0</v>
      </c>
      <c r="P14" s="183">
        <f t="shared" si="4"/>
        <v>0</v>
      </c>
      <c r="Q14" s="152">
        <f>ROUND(P14*'RATES-Fed'!I38,0)</f>
        <v>0</v>
      </c>
      <c r="R14" s="67">
        <f t="shared" si="5"/>
        <v>0</v>
      </c>
      <c r="S14" s="42">
        <f t="shared" si="6"/>
        <v>0</v>
      </c>
    </row>
    <row r="15" spans="1:20" ht="15.75">
      <c r="A15" s="1"/>
      <c r="B15" s="1" t="s">
        <v>15</v>
      </c>
      <c r="C15" s="3"/>
      <c r="D15" s="136" t="s">
        <v>125</v>
      </c>
      <c r="E15" s="70">
        <v>0</v>
      </c>
      <c r="F15" s="95">
        <f t="shared" si="7"/>
        <v>0</v>
      </c>
      <c r="G15" s="69">
        <v>0</v>
      </c>
      <c r="J15" s="183">
        <f t="shared" si="1"/>
        <v>0</v>
      </c>
      <c r="K15" s="152">
        <f>ROUND(J15*'RATES-Fed'!E38,0)</f>
        <v>0</v>
      </c>
      <c r="L15" s="67">
        <f t="shared" si="2"/>
        <v>0</v>
      </c>
      <c r="M15" s="183">
        <f t="shared" si="3"/>
        <v>0</v>
      </c>
      <c r="N15" s="152">
        <f>ROUND(M15*'RATES-Fed'!G38,0)</f>
        <v>0</v>
      </c>
      <c r="O15" s="67">
        <f t="shared" si="0"/>
        <v>0</v>
      </c>
      <c r="P15" s="183">
        <f t="shared" si="4"/>
        <v>0</v>
      </c>
      <c r="Q15" s="152">
        <f>ROUND(P15*'RATES-Fed'!I38,0)</f>
        <v>0</v>
      </c>
      <c r="R15" s="67">
        <f t="shared" si="5"/>
        <v>0</v>
      </c>
      <c r="S15" s="42">
        <f t="shared" si="6"/>
        <v>0</v>
      </c>
      <c r="T15" s="1"/>
    </row>
    <row r="16" spans="1:19" ht="15.75">
      <c r="A16" s="1"/>
      <c r="B16" s="1"/>
      <c r="C16" s="3"/>
      <c r="D16" s="136" t="str">
        <f>IF(D15="ACAD",("SUMR"),"")</f>
        <v>SUMR</v>
      </c>
      <c r="E16" s="70">
        <v>0</v>
      </c>
      <c r="F16" s="95">
        <f t="shared" si="7"/>
        <v>0</v>
      </c>
      <c r="G16" s="69">
        <f>+G15*0.4375</f>
        <v>0</v>
      </c>
      <c r="J16" s="183">
        <f t="shared" si="1"/>
        <v>0</v>
      </c>
      <c r="K16" s="152">
        <f>ROUND(J16*'RATES-Fed'!E38,0)</f>
        <v>0</v>
      </c>
      <c r="L16" s="67">
        <f t="shared" si="2"/>
        <v>0</v>
      </c>
      <c r="M16" s="183">
        <f t="shared" si="3"/>
        <v>0</v>
      </c>
      <c r="N16" s="152">
        <f>ROUND(M16*'RATES-Fed'!G38,0)</f>
        <v>0</v>
      </c>
      <c r="O16" s="67">
        <f t="shared" si="0"/>
        <v>0</v>
      </c>
      <c r="P16" s="183">
        <f t="shared" si="4"/>
        <v>0</v>
      </c>
      <c r="Q16" s="152">
        <f>ROUND(P16*'RATES-Fed'!I38,0)</f>
        <v>0</v>
      </c>
      <c r="R16" s="67">
        <f t="shared" si="5"/>
        <v>0</v>
      </c>
      <c r="S16" s="42">
        <f t="shared" si="6"/>
        <v>0</v>
      </c>
    </row>
    <row r="17" spans="1:20" ht="15.75">
      <c r="A17" s="1"/>
      <c r="B17" s="1" t="s">
        <v>15</v>
      </c>
      <c r="C17" s="3"/>
      <c r="D17" s="136" t="s">
        <v>124</v>
      </c>
      <c r="E17" s="70">
        <v>0</v>
      </c>
      <c r="F17" s="95">
        <f t="shared" si="7"/>
        <v>0</v>
      </c>
      <c r="G17" s="69">
        <v>0</v>
      </c>
      <c r="J17" s="183">
        <f t="shared" si="1"/>
        <v>0</v>
      </c>
      <c r="K17" s="152">
        <f>ROUND(J17*'RATES-Fed'!E38,0)</f>
        <v>0</v>
      </c>
      <c r="L17" s="67">
        <f t="shared" si="2"/>
        <v>0</v>
      </c>
      <c r="M17" s="183">
        <f t="shared" si="3"/>
        <v>0</v>
      </c>
      <c r="N17" s="152">
        <f>ROUND(M17*'RATES-Fed'!G38,0)</f>
        <v>0</v>
      </c>
      <c r="O17" s="67">
        <f t="shared" si="0"/>
        <v>0</v>
      </c>
      <c r="P17" s="183">
        <f t="shared" si="4"/>
        <v>0</v>
      </c>
      <c r="Q17" s="152">
        <f>ROUND(P17*'RATES-Fed'!I38,0)</f>
        <v>0</v>
      </c>
      <c r="R17" s="67">
        <f t="shared" si="5"/>
        <v>0</v>
      </c>
      <c r="S17" s="42">
        <f t="shared" si="6"/>
        <v>0</v>
      </c>
      <c r="T17" s="1"/>
    </row>
    <row r="18" spans="1:19" ht="15.75">
      <c r="A18" s="1"/>
      <c r="B18" s="1" t="s">
        <v>15</v>
      </c>
      <c r="C18" s="3"/>
      <c r="D18" s="136" t="s">
        <v>124</v>
      </c>
      <c r="E18" s="70">
        <v>0</v>
      </c>
      <c r="F18" s="95">
        <f t="shared" si="7"/>
        <v>0</v>
      </c>
      <c r="G18" s="69">
        <v>0</v>
      </c>
      <c r="J18" s="197">
        <f t="shared" si="1"/>
        <v>0</v>
      </c>
      <c r="K18" s="202">
        <f>ROUND(J18*'RATES-Fed'!E38,0)</f>
        <v>0</v>
      </c>
      <c r="L18" s="203">
        <f t="shared" si="2"/>
        <v>0</v>
      </c>
      <c r="M18" s="197">
        <f t="shared" si="3"/>
        <v>0</v>
      </c>
      <c r="N18" s="202">
        <f>ROUND(M18*'RATES-Fed'!G38,0)</f>
        <v>0</v>
      </c>
      <c r="O18" s="203">
        <f t="shared" si="0"/>
        <v>0</v>
      </c>
      <c r="P18" s="197">
        <f t="shared" si="4"/>
        <v>0</v>
      </c>
      <c r="Q18" s="202">
        <f>ROUND(P18*'RATES-Fed'!I38,0)</f>
        <v>0</v>
      </c>
      <c r="R18" s="203">
        <f t="shared" si="5"/>
        <v>0</v>
      </c>
      <c r="S18" s="200">
        <f t="shared" si="6"/>
        <v>0</v>
      </c>
    </row>
    <row r="19" spans="1:20" ht="15.75">
      <c r="A19" s="1"/>
      <c r="B19" s="1"/>
      <c r="C19" s="1"/>
      <c r="D19" s="25" t="s">
        <v>16</v>
      </c>
      <c r="E19" s="26"/>
      <c r="F19" s="26"/>
      <c r="G19" s="1"/>
      <c r="H19" s="1"/>
      <c r="I19" s="1"/>
      <c r="J19" s="201">
        <f aca="true" t="shared" si="8" ref="J19:R19">SUM(J11:J18)</f>
        <v>0</v>
      </c>
      <c r="K19" s="153">
        <f t="shared" si="8"/>
        <v>0</v>
      </c>
      <c r="L19" s="46">
        <f t="shared" si="8"/>
        <v>0</v>
      </c>
      <c r="M19" s="201">
        <f t="shared" si="8"/>
        <v>0</v>
      </c>
      <c r="N19" s="153">
        <f t="shared" si="8"/>
        <v>0</v>
      </c>
      <c r="O19" s="46">
        <f t="shared" si="8"/>
        <v>0</v>
      </c>
      <c r="P19" s="201">
        <f t="shared" si="8"/>
        <v>0</v>
      </c>
      <c r="Q19" s="153">
        <f t="shared" si="8"/>
        <v>0</v>
      </c>
      <c r="R19" s="46">
        <f t="shared" si="8"/>
        <v>0</v>
      </c>
      <c r="S19" s="42">
        <f>SUM(S11:S18)</f>
        <v>0</v>
      </c>
      <c r="T19" s="6"/>
    </row>
    <row r="20" spans="1:18" ht="15.75">
      <c r="A20" s="21" t="s">
        <v>219</v>
      </c>
      <c r="B20" s="21" t="s">
        <v>220</v>
      </c>
      <c r="C20" s="1"/>
      <c r="D20" s="25"/>
      <c r="E20" s="26"/>
      <c r="F20" s="26"/>
      <c r="G20" s="1"/>
      <c r="H20" s="1"/>
      <c r="I20" s="1"/>
      <c r="J20" s="201"/>
      <c r="K20" s="153"/>
      <c r="L20" s="46"/>
      <c r="M20" s="42"/>
      <c r="N20" s="6"/>
      <c r="O20"/>
      <c r="Q20"/>
      <c r="R20"/>
    </row>
    <row r="21" spans="1:19" ht="15.75">
      <c r="A21" s="1"/>
      <c r="B21" s="1" t="s">
        <v>15</v>
      </c>
      <c r="C21" s="3"/>
      <c r="D21" s="136" t="s">
        <v>124</v>
      </c>
      <c r="E21" s="70">
        <v>0</v>
      </c>
      <c r="F21" s="95">
        <f>IF(D21="CAL",(52*E21/4.3333),(IF(D21="ACAD",(32*E21/4.33333),IF(D21="SUMR",(14*E21/4.33333),IF(D21="PT",(0),0)))))</f>
        <v>0</v>
      </c>
      <c r="G21" s="69">
        <v>0</v>
      </c>
      <c r="J21" s="183">
        <f>ROUND(G21*E21,0)</f>
        <v>0</v>
      </c>
      <c r="K21" s="152">
        <f>ROUND(J21*'RATES-Fed'!E40,0)</f>
        <v>0</v>
      </c>
      <c r="L21" s="67">
        <f>ROUND(K21+J21,0)</f>
        <v>0</v>
      </c>
      <c r="M21" s="183">
        <f>ROUND((J21*1.02),0)</f>
        <v>0</v>
      </c>
      <c r="N21" s="152">
        <f>ROUND(M21*'RATES-Fed'!G40,0)</f>
        <v>0</v>
      </c>
      <c r="O21" s="67">
        <f>ROUND(M21+N21,0)</f>
        <v>0</v>
      </c>
      <c r="P21" s="183">
        <f>ROUND((M21*1.02),0)</f>
        <v>0</v>
      </c>
      <c r="Q21" s="152">
        <f>ROUND(P21*'RATES-Fed'!I40,0)</f>
        <v>0</v>
      </c>
      <c r="R21" s="67">
        <f>ROUND(P21+Q21,0)</f>
        <v>0</v>
      </c>
      <c r="S21" s="42">
        <f>SUM(L21+O21+R21)</f>
        <v>0</v>
      </c>
    </row>
    <row r="22" spans="1:19" ht="15.75">
      <c r="A22" s="1"/>
      <c r="B22" s="1" t="s">
        <v>15</v>
      </c>
      <c r="C22" s="3"/>
      <c r="D22" s="136" t="s">
        <v>124</v>
      </c>
      <c r="E22" s="70">
        <v>0</v>
      </c>
      <c r="F22" s="95">
        <f>IF(D22="CAL",(52*E22/4.3333),(IF(D22="ACAD",(32*E22/4.33333),IF(D22="SUMR",(14*E22/4.33333),IF(D22="PT",(0),0)))))</f>
        <v>0</v>
      </c>
      <c r="G22" s="69">
        <v>0</v>
      </c>
      <c r="J22" s="183">
        <f>ROUND(G22*E22,0)</f>
        <v>0</v>
      </c>
      <c r="K22" s="152">
        <f>ROUND(J22*'RATES-Fed'!E40,0)</f>
        <v>0</v>
      </c>
      <c r="L22" s="67">
        <f>ROUND(K22+J22,0)</f>
        <v>0</v>
      </c>
      <c r="M22" s="183">
        <f>ROUND((J22*1.02),0)</f>
        <v>0</v>
      </c>
      <c r="N22" s="152">
        <f>ROUND(M22*'RATES-Fed'!G40,0)</f>
        <v>0</v>
      </c>
      <c r="O22" s="67">
        <f>ROUND(M22+N22,0)</f>
        <v>0</v>
      </c>
      <c r="P22" s="183">
        <f>ROUND((M22*1.02),0)</f>
        <v>0</v>
      </c>
      <c r="Q22" s="152">
        <f>ROUND(P22*'RATES-Fed'!I40,0)</f>
        <v>0</v>
      </c>
      <c r="R22" s="67">
        <f>ROUND(P22+Q22,0)</f>
        <v>0</v>
      </c>
      <c r="S22" s="42">
        <f>SUM(L22+O22+R22)</f>
        <v>0</v>
      </c>
    </row>
    <row r="23" spans="1:19" ht="15.75">
      <c r="A23" s="1"/>
      <c r="B23" s="1" t="s">
        <v>15</v>
      </c>
      <c r="C23" s="3"/>
      <c r="D23" s="136" t="s">
        <v>124</v>
      </c>
      <c r="E23" s="70">
        <v>0</v>
      </c>
      <c r="F23" s="95">
        <f>IF(D23="CAL",(52*E23/4.3333),(IF(D23="ACAD",(32*E23/4.33333),IF(D23="SUMR",(14*E23/4.33333),IF(D23="PT",(0),0)))))</f>
        <v>0</v>
      </c>
      <c r="G23" s="69">
        <v>0</v>
      </c>
      <c r="J23" s="183">
        <f>ROUND(G23*E23,0)</f>
        <v>0</v>
      </c>
      <c r="K23" s="152">
        <f>ROUND(J23*'RATES-Fed'!E40,0)</f>
        <v>0</v>
      </c>
      <c r="L23" s="67">
        <f>ROUND(K23+J23,0)</f>
        <v>0</v>
      </c>
      <c r="M23" s="183">
        <f>ROUND((J23*1.02),0)</f>
        <v>0</v>
      </c>
      <c r="N23" s="152">
        <f>ROUND(M23*'RATES-Fed'!G40,0)</f>
        <v>0</v>
      </c>
      <c r="O23" s="67">
        <f>ROUND(M23+N23,0)</f>
        <v>0</v>
      </c>
      <c r="P23" s="183">
        <f>ROUND((M23*1.02),0)</f>
        <v>0</v>
      </c>
      <c r="Q23" s="152">
        <f>ROUND(P23*'RATES-Fed'!I40,0)</f>
        <v>0</v>
      </c>
      <c r="R23" s="67">
        <f>ROUND(P23+Q23,0)</f>
        <v>0</v>
      </c>
      <c r="S23" s="42">
        <f>SUM(L23+O23+R23)</f>
        <v>0</v>
      </c>
    </row>
    <row r="24" spans="1:19" ht="15.75">
      <c r="A24" s="1"/>
      <c r="B24" s="1" t="s">
        <v>15</v>
      </c>
      <c r="C24" s="3"/>
      <c r="D24" s="136" t="s">
        <v>124</v>
      </c>
      <c r="E24" s="70">
        <v>0</v>
      </c>
      <c r="F24" s="95">
        <f>IF(D24="CAL",(52*E24/4.3333),(IF(D24="ACAD",(32*E24/4.33333),IF(D24="SUMR",(14*E24/4.33333),IF(D24="PT",(0),0)))))</f>
        <v>0</v>
      </c>
      <c r="G24" s="69">
        <v>0</v>
      </c>
      <c r="J24" s="183">
        <f>ROUND(G24*E24,0)</f>
        <v>0</v>
      </c>
      <c r="K24" s="202">
        <f>ROUND(J24*'RATES-Fed'!E40,0)</f>
        <v>0</v>
      </c>
      <c r="L24" s="203">
        <f>ROUND(K24+J24,0)</f>
        <v>0</v>
      </c>
      <c r="M24" s="197">
        <f>ROUND((J24*1.02),0)</f>
        <v>0</v>
      </c>
      <c r="N24" s="202">
        <f>ROUND(M24*'RATES-Fed'!G40,0)</f>
        <v>0</v>
      </c>
      <c r="O24" s="203">
        <f>ROUND(M24+N24,0)</f>
        <v>0</v>
      </c>
      <c r="P24" s="197">
        <f>ROUND((M24*1.02),0)</f>
        <v>0</v>
      </c>
      <c r="Q24" s="202">
        <f>ROUND(P24*'RATES-Fed'!I40,0)</f>
        <v>0</v>
      </c>
      <c r="R24" s="203">
        <f>ROUND(P24+Q24,0)</f>
        <v>0</v>
      </c>
      <c r="S24" s="200">
        <f>SUM(L24+O24+R24)</f>
        <v>0</v>
      </c>
    </row>
    <row r="25" spans="1:19" ht="15.75">
      <c r="A25" s="1"/>
      <c r="B25" s="1"/>
      <c r="C25" s="1"/>
      <c r="D25" s="25" t="s">
        <v>224</v>
      </c>
      <c r="E25" s="26"/>
      <c r="F25" s="26"/>
      <c r="G25" s="1"/>
      <c r="H25" s="1"/>
      <c r="I25" s="1"/>
      <c r="J25" s="187">
        <f aca="true" t="shared" si="9" ref="J25:S25">SUM(J21:J24)</f>
        <v>0</v>
      </c>
      <c r="K25" s="153">
        <f t="shared" si="9"/>
        <v>0</v>
      </c>
      <c r="L25" s="46">
        <f t="shared" si="9"/>
        <v>0</v>
      </c>
      <c r="M25" s="76">
        <f t="shared" si="9"/>
        <v>0</v>
      </c>
      <c r="N25" s="6">
        <f t="shared" si="9"/>
        <v>0</v>
      </c>
      <c r="O25" s="76">
        <f t="shared" si="9"/>
        <v>0</v>
      </c>
      <c r="P25" s="42">
        <f t="shared" si="9"/>
        <v>0</v>
      </c>
      <c r="Q25" s="42">
        <f t="shared" si="9"/>
        <v>0</v>
      </c>
      <c r="R25" s="76">
        <f t="shared" si="9"/>
        <v>0</v>
      </c>
      <c r="S25" s="42">
        <f t="shared" si="9"/>
        <v>0</v>
      </c>
    </row>
    <row r="26" spans="1:20" ht="7.5" customHeight="1">
      <c r="A26" s="1"/>
      <c r="B26" s="1"/>
      <c r="C26" s="1"/>
      <c r="D26" s="26"/>
      <c r="E26" s="26"/>
      <c r="F26" s="26"/>
      <c r="G26" s="1"/>
      <c r="H26" s="1"/>
      <c r="I26" s="1"/>
      <c r="J26" s="188"/>
      <c r="K26" s="153"/>
      <c r="L26" s="46"/>
      <c r="M26" s="182"/>
      <c r="N26" s="153"/>
      <c r="O26" s="46"/>
      <c r="P26" s="182"/>
      <c r="Q26" s="153"/>
      <c r="R26" s="46"/>
      <c r="S26" s="42"/>
      <c r="T26" s="6"/>
    </row>
    <row r="27" spans="1:20" ht="15.75">
      <c r="A27" s="22" t="s">
        <v>221</v>
      </c>
      <c r="B27" s="22" t="s">
        <v>17</v>
      </c>
      <c r="C27" s="1"/>
      <c r="D27" s="26"/>
      <c r="E27" s="1"/>
      <c r="F27" s="1"/>
      <c r="G27" s="41"/>
      <c r="H27" s="1"/>
      <c r="I27" s="1"/>
      <c r="J27" s="186"/>
      <c r="K27" s="149"/>
      <c r="L27" s="139"/>
      <c r="M27" s="186"/>
      <c r="N27" s="153"/>
      <c r="O27" s="46"/>
      <c r="P27" s="186"/>
      <c r="Q27" s="153"/>
      <c r="R27" s="46"/>
      <c r="S27" s="42"/>
      <c r="T27" s="6"/>
    </row>
    <row r="28" spans="1:20" ht="15.75">
      <c r="A28" s="1"/>
      <c r="C28" s="13" t="s">
        <v>87</v>
      </c>
      <c r="D28" s="41" t="s">
        <v>121</v>
      </c>
      <c r="E28" s="68"/>
      <c r="F28" s="68"/>
      <c r="G28" s="59"/>
      <c r="J28" s="183"/>
      <c r="K28" s="154"/>
      <c r="L28" s="50"/>
      <c r="M28" s="183"/>
      <c r="N28" s="164"/>
      <c r="O28" s="144"/>
      <c r="P28" s="183"/>
      <c r="Q28" s="164"/>
      <c r="R28" s="144"/>
      <c r="S28" s="42"/>
      <c r="T28" s="5"/>
    </row>
    <row r="29" spans="1:20" ht="15.75">
      <c r="A29" s="1"/>
      <c r="C29" s="13"/>
      <c r="D29" s="93"/>
      <c r="E29" s="70">
        <v>0</v>
      </c>
      <c r="F29" s="94">
        <f>SUM(52*E29/4.3333)</f>
        <v>0</v>
      </c>
      <c r="G29" s="69">
        <v>0</v>
      </c>
      <c r="J29" s="183">
        <f>ROUND(G29*E29,0)</f>
        <v>0</v>
      </c>
      <c r="K29" s="154">
        <f>ROUND(J29*'RATES-Fed'!E39,0)</f>
        <v>0</v>
      </c>
      <c r="L29" s="50">
        <f>SUM(J29:K29)</f>
        <v>0</v>
      </c>
      <c r="M29" s="183">
        <f>ROUND(J29*1.02,0)</f>
        <v>0</v>
      </c>
      <c r="N29" s="154">
        <f>ROUND(M29*'RATES-Fed'!G39,0)</f>
        <v>0</v>
      </c>
      <c r="O29" s="50">
        <f>SUM(M29:N29)</f>
        <v>0</v>
      </c>
      <c r="P29" s="183">
        <f>ROUND(M29*1.02,0)</f>
        <v>0</v>
      </c>
      <c r="Q29" s="154">
        <f>ROUND(P29*'RATES-Fed'!I39,0)</f>
        <v>0</v>
      </c>
      <c r="R29" s="50">
        <f>SUM(P29:Q29)</f>
        <v>0</v>
      </c>
      <c r="S29" s="42">
        <f>SUM(L29+O29+R29)</f>
        <v>0</v>
      </c>
      <c r="T29" s="5"/>
    </row>
    <row r="30" spans="1:20" ht="15.75">
      <c r="A30" s="1"/>
      <c r="C30" s="13"/>
      <c r="D30" s="1"/>
      <c r="E30" s="70">
        <v>0</v>
      </c>
      <c r="F30" s="94">
        <f>SUM(52*E30/4.3333)</f>
        <v>0</v>
      </c>
      <c r="G30" s="69">
        <v>0</v>
      </c>
      <c r="J30" s="183">
        <f>ROUND(G30*E30,0)</f>
        <v>0</v>
      </c>
      <c r="K30" s="154">
        <f>ROUND(J30*'RATES-Fed'!E39,0)</f>
        <v>0</v>
      </c>
      <c r="L30" s="50">
        <f>SUM(J30:K30)</f>
        <v>0</v>
      </c>
      <c r="M30" s="183">
        <f>ROUND(J30*1.02,0)</f>
        <v>0</v>
      </c>
      <c r="N30" s="154">
        <f>ROUND(M30*'RATES-Fed'!G39,0)</f>
        <v>0</v>
      </c>
      <c r="O30" s="50">
        <f>SUM(M30:N30)</f>
        <v>0</v>
      </c>
      <c r="P30" s="183">
        <f>ROUND(M30*1.02,0)</f>
        <v>0</v>
      </c>
      <c r="Q30" s="154">
        <f>ROUND(P30*'RATES-Fed'!I39,0)</f>
        <v>0</v>
      </c>
      <c r="R30" s="50">
        <f>SUM(P30:Q30)</f>
        <v>0</v>
      </c>
      <c r="S30" s="42">
        <f>SUM(L30+O30+R30)</f>
        <v>0</v>
      </c>
      <c r="T30" s="5"/>
    </row>
    <row r="31" spans="1:20" ht="15.75">
      <c r="A31" s="1"/>
      <c r="C31" s="13"/>
      <c r="D31" s="1"/>
      <c r="E31" s="70">
        <v>0</v>
      </c>
      <c r="F31" s="94">
        <f>SUM(52*E31/4.3333)</f>
        <v>0</v>
      </c>
      <c r="G31" s="69">
        <v>0</v>
      </c>
      <c r="J31" s="197">
        <f>ROUND(G31*E31,0)</f>
        <v>0</v>
      </c>
      <c r="K31" s="198">
        <f>ROUND(J31*'RATES-Fed'!E39,0)</f>
        <v>0</v>
      </c>
      <c r="L31" s="199">
        <f>SUM(J31:K31)</f>
        <v>0</v>
      </c>
      <c r="M31" s="197">
        <f>ROUND(J31*1.02,0)</f>
        <v>0</v>
      </c>
      <c r="N31" s="198">
        <f>ROUND(M31*'RATES-Fed'!G39,0)</f>
        <v>0</v>
      </c>
      <c r="O31" s="199">
        <f>SUM(M31:N31)</f>
        <v>0</v>
      </c>
      <c r="P31" s="197">
        <f>ROUND(M31*1.02,0)</f>
        <v>0</v>
      </c>
      <c r="Q31" s="198">
        <f>ROUND(P31*'RATES-Fed'!I39,0)</f>
        <v>0</v>
      </c>
      <c r="R31" s="199">
        <f>SUM(P31:Q31)</f>
        <v>0</v>
      </c>
      <c r="S31" s="200">
        <f>SUM(L31+O31+R31)</f>
        <v>0</v>
      </c>
      <c r="T31" s="5"/>
    </row>
    <row r="32" spans="1:20" ht="15.75">
      <c r="A32" s="1"/>
      <c r="C32" s="13"/>
      <c r="D32" s="1" t="s">
        <v>122</v>
      </c>
      <c r="E32" s="70"/>
      <c r="F32" s="70"/>
      <c r="G32" s="69"/>
      <c r="J32" s="189">
        <f aca="true" t="shared" si="10" ref="J32:S32">SUM(J29:J31)</f>
        <v>0</v>
      </c>
      <c r="K32" s="154">
        <f t="shared" si="10"/>
        <v>0</v>
      </c>
      <c r="L32" s="50">
        <f t="shared" si="10"/>
        <v>0</v>
      </c>
      <c r="M32" s="189">
        <f t="shared" si="10"/>
        <v>0</v>
      </c>
      <c r="N32" s="164">
        <f t="shared" si="10"/>
        <v>0</v>
      </c>
      <c r="O32" s="144">
        <f t="shared" si="10"/>
        <v>0</v>
      </c>
      <c r="P32" s="189">
        <f t="shared" si="10"/>
        <v>0</v>
      </c>
      <c r="Q32" s="164">
        <f t="shared" si="10"/>
        <v>0</v>
      </c>
      <c r="R32" s="144">
        <f t="shared" si="10"/>
        <v>0</v>
      </c>
      <c r="S32" s="42">
        <f t="shared" si="10"/>
        <v>0</v>
      </c>
      <c r="T32" s="5"/>
    </row>
    <row r="33" spans="1:20" ht="9.75" customHeight="1">
      <c r="A33" s="1"/>
      <c r="C33" s="13"/>
      <c r="D33" s="1"/>
      <c r="E33" s="70"/>
      <c r="F33" s="70"/>
      <c r="G33" s="69"/>
      <c r="J33" s="189"/>
      <c r="K33" s="154"/>
      <c r="L33" s="50"/>
      <c r="M33" s="189"/>
      <c r="N33" s="164"/>
      <c r="O33" s="144"/>
      <c r="P33" s="189"/>
      <c r="Q33" s="164"/>
      <c r="R33" s="144"/>
      <c r="S33" s="42"/>
      <c r="T33" s="5"/>
    </row>
    <row r="34" spans="1:20" ht="15.75">
      <c r="A34" s="1"/>
      <c r="C34" s="13" t="s">
        <v>88</v>
      </c>
      <c r="D34" s="1"/>
      <c r="E34" s="70">
        <v>0</v>
      </c>
      <c r="F34" s="94">
        <f>SUM(52*E34/4.3333)</f>
        <v>0</v>
      </c>
      <c r="G34" s="69">
        <v>0</v>
      </c>
      <c r="J34" s="183">
        <f>ROUND(G34*E34,0)</f>
        <v>0</v>
      </c>
      <c r="K34" s="154">
        <f>ROUND(J34*'RATES-Fed'!E43,0)</f>
        <v>0</v>
      </c>
      <c r="L34" s="50">
        <f>SUM(J34:K34)</f>
        <v>0</v>
      </c>
      <c r="M34" s="183">
        <f>ROUND((J34*1.02),0)</f>
        <v>0</v>
      </c>
      <c r="N34" s="154">
        <f>ROUND(M34*'RATES-Fed'!G43,0)</f>
        <v>0</v>
      </c>
      <c r="O34" s="50">
        <f>SUM(M34:N34)</f>
        <v>0</v>
      </c>
      <c r="P34" s="183">
        <f>ROUND((M34*1.02),0)</f>
        <v>0</v>
      </c>
      <c r="Q34" s="154">
        <f>ROUND(P34*'RATES-Fed'!I43,0)</f>
        <v>0</v>
      </c>
      <c r="R34" s="50">
        <f>SUM(P34:Q34)</f>
        <v>0</v>
      </c>
      <c r="S34" s="42">
        <f>SUM(L34+O34+R34)</f>
        <v>0</v>
      </c>
      <c r="T34" s="5"/>
    </row>
    <row r="35" spans="1:20" ht="15.75">
      <c r="A35" s="1"/>
      <c r="C35" s="13" t="s">
        <v>18</v>
      </c>
      <c r="D35" s="1"/>
      <c r="E35" s="70">
        <v>0</v>
      </c>
      <c r="F35" s="94">
        <f>SUM(52*E35/4.3333)</f>
        <v>0</v>
      </c>
      <c r="G35" s="69">
        <v>0</v>
      </c>
      <c r="J35" s="183">
        <f>ROUND(G35*E35,0)</f>
        <v>0</v>
      </c>
      <c r="K35" s="154">
        <f>ROUND(J35*'RATES-Fed'!E42,0)</f>
        <v>0</v>
      </c>
      <c r="L35" s="50">
        <f>SUM(J35:K35)</f>
        <v>0</v>
      </c>
      <c r="M35" s="183">
        <f>ROUND((J35*1.02),0)</f>
        <v>0</v>
      </c>
      <c r="N35" s="154">
        <f>ROUND(M35*'RATES-Fed'!G42,0)</f>
        <v>0</v>
      </c>
      <c r="O35" s="50">
        <f>SUM(M35:N35)</f>
        <v>0</v>
      </c>
      <c r="P35" s="183">
        <f>ROUND((M35*1.02),0)</f>
        <v>0</v>
      </c>
      <c r="Q35" s="154">
        <f>ROUND(P35*'RATES-Fed'!I42,0)</f>
        <v>0</v>
      </c>
      <c r="R35" s="50">
        <f>SUM(P35:Q35)</f>
        <v>0</v>
      </c>
      <c r="S35" s="42">
        <f>SUM(L35+O35+R35)</f>
        <v>0</v>
      </c>
      <c r="T35" s="5"/>
    </row>
    <row r="36" spans="1:20" ht="15.75">
      <c r="A36" s="1"/>
      <c r="C36" s="13" t="s">
        <v>19</v>
      </c>
      <c r="D36" s="1"/>
      <c r="E36" s="70">
        <v>0</v>
      </c>
      <c r="F36" s="94">
        <f>SUM(52*E36/4.3333)</f>
        <v>0</v>
      </c>
      <c r="G36" s="69">
        <v>0</v>
      </c>
      <c r="J36" s="183">
        <f>ROUND(G36*E36,0)</f>
        <v>0</v>
      </c>
      <c r="K36" s="154">
        <f>ROUND(J36*'RATES-Fed'!E42,0)</f>
        <v>0</v>
      </c>
      <c r="L36" s="50">
        <f>SUM(J36:K36)</f>
        <v>0</v>
      </c>
      <c r="M36" s="183">
        <f>ROUND((J36*1.02),0)</f>
        <v>0</v>
      </c>
      <c r="N36" s="154">
        <f>ROUND(M36*'RATES-Fed'!G42,0)</f>
        <v>0</v>
      </c>
      <c r="O36" s="50">
        <f>SUM(M36:N36)</f>
        <v>0</v>
      </c>
      <c r="P36" s="183">
        <f>ROUND((M36*1.02),0)</f>
        <v>0</v>
      </c>
      <c r="Q36" s="154">
        <f>ROUND(P36*'RATES-Fed'!I42,0)</f>
        <v>0</v>
      </c>
      <c r="R36" s="50">
        <f>SUM(P36:Q36)</f>
        <v>0</v>
      </c>
      <c r="S36" s="42">
        <f>SUM(L36+O36+R36)</f>
        <v>0</v>
      </c>
      <c r="T36" s="5"/>
    </row>
    <row r="37" spans="1:20" s="90" customFormat="1" ht="15.75">
      <c r="A37" s="139"/>
      <c r="C37" s="138" t="s">
        <v>20</v>
      </c>
      <c r="D37" s="139"/>
      <c r="E37" s="70">
        <v>0</v>
      </c>
      <c r="F37" s="94">
        <f>SUM(52*E37/4.3333)</f>
        <v>0</v>
      </c>
      <c r="G37" s="69">
        <v>0</v>
      </c>
      <c r="J37" s="183">
        <f>ROUND(G37*E37,0)</f>
        <v>0</v>
      </c>
      <c r="K37" s="154">
        <f>ROUND(J37*'RATES-Fed'!E43,0)</f>
        <v>0</v>
      </c>
      <c r="L37" s="50">
        <f>SUM(J37:K37)</f>
        <v>0</v>
      </c>
      <c r="M37" s="183">
        <f>ROUND((J37*1.02),0)</f>
        <v>0</v>
      </c>
      <c r="N37" s="154">
        <f>ROUND(M37*'RATES-Fed'!G43,0)</f>
        <v>0</v>
      </c>
      <c r="O37" s="50">
        <f>SUM(M37:N37)</f>
        <v>0</v>
      </c>
      <c r="P37" s="183">
        <f>ROUND((M37*1.02),0)</f>
        <v>0</v>
      </c>
      <c r="Q37" s="154">
        <f>ROUND(P37*'RATES-Fed'!I43,0)</f>
        <v>0</v>
      </c>
      <c r="R37" s="50">
        <f>SUM(P37:Q37)</f>
        <v>0</v>
      </c>
      <c r="S37" s="42">
        <f>SUM(L37+O37+R37)</f>
        <v>0</v>
      </c>
      <c r="T37" s="146"/>
    </row>
    <row r="38" spans="1:20" s="90" customFormat="1" ht="15.75">
      <c r="A38" s="139"/>
      <c r="C38" s="138" t="s">
        <v>89</v>
      </c>
      <c r="D38" s="139"/>
      <c r="E38" s="70">
        <v>0</v>
      </c>
      <c r="F38" s="94">
        <f>SUM(52*E38/4.3333)</f>
        <v>0</v>
      </c>
      <c r="G38" s="69">
        <v>0</v>
      </c>
      <c r="J38" s="197">
        <f>ROUND(G38*E38,0)</f>
        <v>0</v>
      </c>
      <c r="K38" s="198">
        <f>ROUND(J38*'RATES-Fed'!E41,0)</f>
        <v>0</v>
      </c>
      <c r="L38" s="199">
        <f>SUM(J38:K38)</f>
        <v>0</v>
      </c>
      <c r="M38" s="197">
        <f>ROUND((J38*1.02),0)</f>
        <v>0</v>
      </c>
      <c r="N38" s="205">
        <f>ROUND(M38*'RATES-Fed'!G41,0)</f>
        <v>0</v>
      </c>
      <c r="O38" s="199">
        <f>SUM(M38:N38)</f>
        <v>0</v>
      </c>
      <c r="P38" s="197">
        <f>ROUND((M38*1.02),0)</f>
        <v>0</v>
      </c>
      <c r="Q38" s="205">
        <f>ROUND(P38*'RATES-Fed'!I41,0)</f>
        <v>0</v>
      </c>
      <c r="R38" s="199">
        <f>SUM(P38:Q38)</f>
        <v>0</v>
      </c>
      <c r="S38" s="200">
        <f>SUM(L38+O38+R38)</f>
        <v>0</v>
      </c>
      <c r="T38" s="146"/>
    </row>
    <row r="39" spans="1:20" ht="15.75">
      <c r="A39" s="1"/>
      <c r="B39" s="1"/>
      <c r="C39" s="1"/>
      <c r="D39" s="184" t="s">
        <v>185</v>
      </c>
      <c r="E39" s="26"/>
      <c r="F39" s="26"/>
      <c r="G39" s="1"/>
      <c r="H39" s="1"/>
      <c r="I39" s="1"/>
      <c r="J39" s="204">
        <f aca="true" t="shared" si="11" ref="J39:R39">SUM(J19+J25+J32+J34+J35+J36+J37+J38)</f>
        <v>0</v>
      </c>
      <c r="K39" s="154">
        <f t="shared" si="11"/>
        <v>0</v>
      </c>
      <c r="L39" s="50">
        <f t="shared" si="11"/>
        <v>0</v>
      </c>
      <c r="M39" s="204">
        <f t="shared" si="11"/>
        <v>0</v>
      </c>
      <c r="N39" s="154">
        <f t="shared" si="11"/>
        <v>0</v>
      </c>
      <c r="O39" s="50">
        <f t="shared" si="11"/>
        <v>0</v>
      </c>
      <c r="P39" s="204">
        <f t="shared" si="11"/>
        <v>0</v>
      </c>
      <c r="Q39" s="154">
        <f t="shared" si="11"/>
        <v>0</v>
      </c>
      <c r="R39" s="50">
        <f t="shared" si="11"/>
        <v>0</v>
      </c>
      <c r="S39" s="42">
        <f>SUM(S34:S38)</f>
        <v>0</v>
      </c>
      <c r="T39" s="5"/>
    </row>
    <row r="40" spans="1:20" ht="7.5" customHeight="1">
      <c r="A40" s="1"/>
      <c r="B40" s="1"/>
      <c r="C40" s="1"/>
      <c r="D40" s="26"/>
      <c r="E40" s="26"/>
      <c r="F40" s="26"/>
      <c r="G40" s="26"/>
      <c r="H40" s="26"/>
      <c r="I40" s="26"/>
      <c r="J40" s="52"/>
      <c r="K40" s="153"/>
      <c r="L40" s="172"/>
      <c r="M40" s="64"/>
      <c r="P40" s="64"/>
      <c r="Q40" s="153"/>
      <c r="R40" s="46"/>
      <c r="S40" s="64" t="s">
        <v>1</v>
      </c>
      <c r="T40" s="6"/>
    </row>
    <row r="41" spans="1:20" s="31" customFormat="1" ht="15.75">
      <c r="A41" s="40" t="s">
        <v>23</v>
      </c>
      <c r="B41" s="21"/>
      <c r="D41" s="28"/>
      <c r="E41" s="28"/>
      <c r="F41" s="28"/>
      <c r="G41" s="28"/>
      <c r="H41" s="28"/>
      <c r="I41" s="28"/>
      <c r="J41" s="47">
        <f>SUM(J39+K39)</f>
        <v>0</v>
      </c>
      <c r="K41" s="155"/>
      <c r="L41" s="174"/>
      <c r="M41" s="47">
        <f>SUM(M39+N39)</f>
        <v>0</v>
      </c>
      <c r="N41" s="155"/>
      <c r="O41" s="140"/>
      <c r="P41" s="47">
        <f>SUM(P39+Q39)</f>
        <v>0</v>
      </c>
      <c r="Q41" s="155"/>
      <c r="R41" s="140"/>
      <c r="S41" s="47">
        <f>SUM(J41+M41+P41)</f>
        <v>0</v>
      </c>
      <c r="T41" s="29"/>
    </row>
    <row r="42" spans="1:20" ht="8.25" customHeight="1">
      <c r="A42" s="1"/>
      <c r="B42" s="1"/>
      <c r="C42" s="28"/>
      <c r="D42" s="26"/>
      <c r="E42" s="26"/>
      <c r="F42" s="26"/>
      <c r="G42" s="26"/>
      <c r="H42" s="26"/>
      <c r="I42" s="26"/>
      <c r="J42" s="52"/>
      <c r="K42" s="153"/>
      <c r="L42" s="172"/>
      <c r="M42" s="46"/>
      <c r="N42" s="153"/>
      <c r="O42" s="46"/>
      <c r="P42" s="46"/>
      <c r="Q42" s="153"/>
      <c r="R42" s="46"/>
      <c r="S42" s="46" t="s">
        <v>1</v>
      </c>
      <c r="T42" s="6"/>
    </row>
    <row r="43" spans="1:20" ht="15.75">
      <c r="A43" s="22" t="s">
        <v>24</v>
      </c>
      <c r="B43" s="22" t="s">
        <v>25</v>
      </c>
      <c r="C43" s="21"/>
      <c r="D43" s="26"/>
      <c r="E43" s="26"/>
      <c r="F43" s="26"/>
      <c r="G43" s="26"/>
      <c r="H43" s="26"/>
      <c r="I43" s="26"/>
      <c r="J43" s="52"/>
      <c r="K43" s="153"/>
      <c r="L43" s="172"/>
      <c r="M43" s="50"/>
      <c r="N43" s="153"/>
      <c r="O43" s="46"/>
      <c r="P43" s="50"/>
      <c r="Q43" s="153"/>
      <c r="R43" s="46"/>
      <c r="S43" s="50" t="s">
        <v>1</v>
      </c>
      <c r="T43" s="6"/>
    </row>
    <row r="44" spans="1:20" ht="15.75">
      <c r="A44" s="21"/>
      <c r="B44" s="21"/>
      <c r="C44" s="10" t="s">
        <v>26</v>
      </c>
      <c r="D44" s="30"/>
      <c r="E44" s="30"/>
      <c r="F44" s="30"/>
      <c r="G44" s="30"/>
      <c r="H44" s="30"/>
      <c r="I44" s="30"/>
      <c r="J44" s="42">
        <v>0</v>
      </c>
      <c r="K44" s="153"/>
      <c r="L44" s="172"/>
      <c r="M44" s="42">
        <v>0</v>
      </c>
      <c r="N44" s="154"/>
      <c r="O44" s="50"/>
      <c r="P44" s="42">
        <v>0</v>
      </c>
      <c r="Q44" s="154"/>
      <c r="R44" s="50"/>
      <c r="S44" s="42">
        <f>SUM(J44:R44)</f>
        <v>0</v>
      </c>
      <c r="T44" s="6"/>
    </row>
    <row r="45" spans="1:20" ht="15.75">
      <c r="A45" s="21"/>
      <c r="B45" s="21"/>
      <c r="C45" s="10" t="s">
        <v>26</v>
      </c>
      <c r="D45" s="30"/>
      <c r="E45" s="30"/>
      <c r="F45" s="30"/>
      <c r="G45" s="30"/>
      <c r="H45" s="30"/>
      <c r="I45" s="30"/>
      <c r="J45" s="42">
        <v>0</v>
      </c>
      <c r="K45" s="153"/>
      <c r="L45" s="172"/>
      <c r="M45" s="42">
        <v>0</v>
      </c>
      <c r="N45" s="154"/>
      <c r="O45" s="50"/>
      <c r="P45" s="42">
        <v>0</v>
      </c>
      <c r="Q45" s="154"/>
      <c r="R45" s="50"/>
      <c r="S45" s="42">
        <f>SUM(J45:R45)</f>
        <v>0</v>
      </c>
      <c r="T45" s="6"/>
    </row>
    <row r="46" spans="1:20" ht="15.75">
      <c r="A46" s="21"/>
      <c r="B46" s="21"/>
      <c r="C46" s="27" t="s">
        <v>27</v>
      </c>
      <c r="D46" s="28"/>
      <c r="E46" s="28"/>
      <c r="F46" s="28"/>
      <c r="G46" s="28"/>
      <c r="H46" s="28"/>
      <c r="I46" s="28"/>
      <c r="J46" s="53">
        <f>SUM(J44:J45)</f>
        <v>0</v>
      </c>
      <c r="K46" s="156"/>
      <c r="L46" s="175"/>
      <c r="M46" s="53">
        <f>SUM(M44:M45)</f>
        <v>0</v>
      </c>
      <c r="N46" s="156"/>
      <c r="O46" s="48"/>
      <c r="P46" s="53">
        <f>SUM(P44:P45)</f>
        <v>0</v>
      </c>
      <c r="Q46" s="156"/>
      <c r="R46" s="48"/>
      <c r="S46" s="53">
        <f>SUM(J46:R46)</f>
        <v>0</v>
      </c>
      <c r="T46" s="29"/>
    </row>
    <row r="47" spans="1:20" ht="9" customHeight="1">
      <c r="A47" s="1"/>
      <c r="B47" s="1"/>
      <c r="C47" s="28"/>
      <c r="D47" s="26"/>
      <c r="E47" s="26"/>
      <c r="F47" s="26"/>
      <c r="G47" s="26"/>
      <c r="H47" s="26"/>
      <c r="I47" s="26"/>
      <c r="J47" s="52"/>
      <c r="K47" s="153"/>
      <c r="L47" s="172"/>
      <c r="M47" s="46"/>
      <c r="N47" s="153"/>
      <c r="O47" s="46"/>
      <c r="P47" s="46"/>
      <c r="Q47" s="153"/>
      <c r="R47" s="46"/>
      <c r="S47" s="46"/>
      <c r="T47" s="6"/>
    </row>
    <row r="48" spans="1:20" ht="15.75">
      <c r="A48" s="22" t="s">
        <v>28</v>
      </c>
      <c r="B48" s="22" t="s">
        <v>29</v>
      </c>
      <c r="C48" s="1"/>
      <c r="D48" s="21"/>
      <c r="E48" s="21"/>
      <c r="F48" s="21"/>
      <c r="G48" s="1"/>
      <c r="H48" s="1"/>
      <c r="I48" s="1"/>
      <c r="J48" s="54" t="s">
        <v>1</v>
      </c>
      <c r="K48" s="154"/>
      <c r="L48" s="173"/>
      <c r="M48" s="45" t="s">
        <v>1</v>
      </c>
      <c r="N48" s="154"/>
      <c r="O48" s="50"/>
      <c r="P48" s="45" t="s">
        <v>1</v>
      </c>
      <c r="Q48" s="154"/>
      <c r="R48" s="50"/>
      <c r="S48" s="45"/>
      <c r="T48" s="5"/>
    </row>
    <row r="49" spans="1:20" ht="15.75">
      <c r="A49" s="21"/>
      <c r="B49" s="21"/>
      <c r="C49" s="13" t="s">
        <v>30</v>
      </c>
      <c r="D49" s="10" t="s">
        <v>26</v>
      </c>
      <c r="E49" s="31"/>
      <c r="F49" s="31"/>
      <c r="J49" s="42">
        <v>0</v>
      </c>
      <c r="K49" s="154"/>
      <c r="L49" s="173"/>
      <c r="M49" s="42">
        <f>ROUND((J49*1.02),0)</f>
        <v>0</v>
      </c>
      <c r="N49" s="164"/>
      <c r="O49" s="144"/>
      <c r="P49" s="42">
        <f>ROUND((M49*1.02),0)</f>
        <v>0</v>
      </c>
      <c r="Q49" s="164"/>
      <c r="R49" s="144"/>
      <c r="S49" s="42">
        <f>SUM(J49:R49)</f>
        <v>0</v>
      </c>
      <c r="T49" s="5"/>
    </row>
    <row r="50" spans="1:20" ht="15.75">
      <c r="A50" s="21"/>
      <c r="B50" s="21"/>
      <c r="C50" s="13" t="s">
        <v>31</v>
      </c>
      <c r="D50" s="10" t="s">
        <v>26</v>
      </c>
      <c r="E50" s="31"/>
      <c r="F50" s="31"/>
      <c r="J50" s="42">
        <v>0</v>
      </c>
      <c r="K50" s="154"/>
      <c r="L50" s="173"/>
      <c r="M50" s="42">
        <f>ROUND((J50*1.02),0)</f>
        <v>0</v>
      </c>
      <c r="N50" s="164"/>
      <c r="O50" s="144"/>
      <c r="P50" s="42">
        <f>ROUND((M50*1.02),0)</f>
        <v>0</v>
      </c>
      <c r="Q50" s="164"/>
      <c r="R50" s="144"/>
      <c r="S50" s="42">
        <f>SUM(J50:R50)</f>
        <v>0</v>
      </c>
      <c r="T50" s="5"/>
    </row>
    <row r="51" spans="1:20" s="31" customFormat="1" ht="15.75">
      <c r="A51" s="21"/>
      <c r="B51" s="21"/>
      <c r="C51" s="27" t="s">
        <v>32</v>
      </c>
      <c r="D51" s="28"/>
      <c r="E51" s="28"/>
      <c r="F51" s="28"/>
      <c r="G51" s="28"/>
      <c r="H51" s="28"/>
      <c r="I51" s="28"/>
      <c r="J51" s="53">
        <f>SUM(J49:J50)</f>
        <v>0</v>
      </c>
      <c r="K51" s="156"/>
      <c r="L51" s="175"/>
      <c r="M51" s="55">
        <f>SUM(M49:M50)</f>
        <v>0</v>
      </c>
      <c r="N51" s="156"/>
      <c r="O51" s="48"/>
      <c r="P51" s="55">
        <f>SUM(P49:P50)</f>
        <v>0</v>
      </c>
      <c r="Q51" s="156"/>
      <c r="R51" s="48"/>
      <c r="S51" s="55">
        <f>SUM(J51:R51)</f>
        <v>0</v>
      </c>
      <c r="T51" s="29"/>
    </row>
    <row r="52" spans="1:20" s="31" customFormat="1" ht="10.5" customHeight="1">
      <c r="A52" s="21"/>
      <c r="B52" s="21"/>
      <c r="C52" s="27"/>
      <c r="D52" s="28"/>
      <c r="E52" s="28"/>
      <c r="F52" s="28"/>
      <c r="G52" s="28"/>
      <c r="H52" s="28"/>
      <c r="I52" s="28"/>
      <c r="J52" s="61"/>
      <c r="K52" s="156"/>
      <c r="L52" s="175"/>
      <c r="M52" s="280"/>
      <c r="N52" s="156"/>
      <c r="O52" s="48"/>
      <c r="P52" s="280"/>
      <c r="Q52" s="156"/>
      <c r="R52" s="48"/>
      <c r="S52" s="280"/>
      <c r="T52" s="29"/>
    </row>
    <row r="53" spans="1:20" s="31" customFormat="1" ht="15.75">
      <c r="A53" s="21" t="s">
        <v>229</v>
      </c>
      <c r="B53" s="21" t="s">
        <v>230</v>
      </c>
      <c r="C53" s="27"/>
      <c r="D53" s="28"/>
      <c r="E53" s="28"/>
      <c r="F53" s="28"/>
      <c r="G53" s="28"/>
      <c r="H53" s="28"/>
      <c r="I53" s="28"/>
      <c r="J53" s="61"/>
      <c r="K53" s="156"/>
      <c r="L53" s="175"/>
      <c r="M53" s="280"/>
      <c r="N53" s="156"/>
      <c r="O53" s="48"/>
      <c r="P53" s="280"/>
      <c r="Q53" s="156"/>
      <c r="R53" s="48"/>
      <c r="S53" s="280"/>
      <c r="T53" s="29"/>
    </row>
    <row r="54" spans="1:20" s="31" customFormat="1" ht="15.75">
      <c r="A54" s="21"/>
      <c r="B54" s="21"/>
      <c r="C54" s="283" t="s">
        <v>231</v>
      </c>
      <c r="D54" s="28"/>
      <c r="E54" s="28"/>
      <c r="F54" s="28"/>
      <c r="G54" s="28"/>
      <c r="H54" s="28"/>
      <c r="I54" s="28"/>
      <c r="J54" s="61">
        <v>0</v>
      </c>
      <c r="K54" s="156"/>
      <c r="L54" s="175"/>
      <c r="M54" s="280">
        <v>0</v>
      </c>
      <c r="N54" s="156"/>
      <c r="O54" s="48"/>
      <c r="P54" s="280">
        <v>0</v>
      </c>
      <c r="Q54" s="156"/>
      <c r="R54" s="48"/>
      <c r="S54" s="280">
        <f>SUM(J54:R54)</f>
        <v>0</v>
      </c>
      <c r="T54" s="29"/>
    </row>
    <row r="55" spans="1:20" s="31" customFormat="1" ht="15.75">
      <c r="A55" s="21"/>
      <c r="B55" s="21"/>
      <c r="C55" s="283" t="s">
        <v>232</v>
      </c>
      <c r="D55" s="28"/>
      <c r="E55" s="28"/>
      <c r="F55" s="28"/>
      <c r="G55" s="28"/>
      <c r="H55" s="28"/>
      <c r="I55" s="28"/>
      <c r="J55" s="61">
        <v>0</v>
      </c>
      <c r="K55" s="156"/>
      <c r="L55" s="175"/>
      <c r="M55" s="280">
        <v>0</v>
      </c>
      <c r="N55" s="156"/>
      <c r="O55" s="48"/>
      <c r="P55" s="280">
        <v>0</v>
      </c>
      <c r="Q55" s="156"/>
      <c r="R55" s="48"/>
      <c r="S55" s="280">
        <f>SUM(J55:R55)</f>
        <v>0</v>
      </c>
      <c r="T55" s="29"/>
    </row>
    <row r="56" spans="1:20" s="31" customFormat="1" ht="15.75">
      <c r="A56" s="21"/>
      <c r="B56" s="21"/>
      <c r="C56" s="283" t="s">
        <v>233</v>
      </c>
      <c r="D56" s="28"/>
      <c r="E56" s="28"/>
      <c r="F56" s="28"/>
      <c r="G56" s="28"/>
      <c r="H56" s="28"/>
      <c r="I56" s="28"/>
      <c r="J56" s="61">
        <v>0</v>
      </c>
      <c r="K56" s="156"/>
      <c r="L56" s="175"/>
      <c r="M56" s="280">
        <v>0</v>
      </c>
      <c r="N56" s="156"/>
      <c r="O56" s="48"/>
      <c r="P56" s="280">
        <v>0</v>
      </c>
      <c r="Q56" s="156"/>
      <c r="R56" s="48"/>
      <c r="S56" s="280">
        <f>SUM(J56:R56)</f>
        <v>0</v>
      </c>
      <c r="T56" s="29"/>
    </row>
    <row r="57" spans="1:20" s="31" customFormat="1" ht="15.75">
      <c r="A57" s="21"/>
      <c r="B57" s="21"/>
      <c r="C57" s="283" t="s">
        <v>234</v>
      </c>
      <c r="D57" s="28"/>
      <c r="E57" s="28"/>
      <c r="F57" s="28"/>
      <c r="G57" s="28"/>
      <c r="H57" s="28"/>
      <c r="I57" s="28"/>
      <c r="J57" s="281">
        <v>0</v>
      </c>
      <c r="K57" s="156"/>
      <c r="L57" s="175"/>
      <c r="M57" s="282">
        <v>0</v>
      </c>
      <c r="N57" s="156"/>
      <c r="O57" s="48"/>
      <c r="P57" s="282">
        <v>0</v>
      </c>
      <c r="Q57" s="156"/>
      <c r="R57" s="48"/>
      <c r="S57" s="282">
        <f>SUM(J57:R57)</f>
        <v>0</v>
      </c>
      <c r="T57" s="29"/>
    </row>
    <row r="58" spans="1:20" s="31" customFormat="1" ht="15.75">
      <c r="A58" s="1"/>
      <c r="B58" s="1"/>
      <c r="C58" s="27" t="s">
        <v>235</v>
      </c>
      <c r="D58" s="26"/>
      <c r="E58" s="26"/>
      <c r="F58" s="26"/>
      <c r="G58" s="26"/>
      <c r="H58" s="26"/>
      <c r="I58" s="26"/>
      <c r="J58" s="52">
        <f>SUM(J54:J57)</f>
        <v>0</v>
      </c>
      <c r="K58" s="156"/>
      <c r="L58" s="175"/>
      <c r="M58" s="280">
        <f>SUM(M54:M57)</f>
        <v>0</v>
      </c>
      <c r="N58" s="156"/>
      <c r="O58" s="48"/>
      <c r="P58" s="280">
        <f>SUM(P54:P57)</f>
        <v>0</v>
      </c>
      <c r="Q58" s="156"/>
      <c r="R58" s="48"/>
      <c r="S58" s="280">
        <f>SUM(S54:S57)</f>
        <v>0</v>
      </c>
      <c r="T58" s="29"/>
    </row>
    <row r="59" spans="1:20" ht="10.5" customHeight="1">
      <c r="A59" s="1"/>
      <c r="B59" s="1"/>
      <c r="C59" s="28"/>
      <c r="D59" s="26"/>
      <c r="E59" s="26"/>
      <c r="F59" s="26"/>
      <c r="G59" s="26"/>
      <c r="H59" s="26"/>
      <c r="I59" s="26"/>
      <c r="J59" s="52"/>
      <c r="K59" s="153"/>
      <c r="L59" s="172"/>
      <c r="M59" s="42"/>
      <c r="N59" s="153"/>
      <c r="O59" s="46"/>
      <c r="P59" s="42"/>
      <c r="Q59" s="153"/>
      <c r="R59" s="46"/>
      <c r="S59" s="42"/>
      <c r="T59" s="6"/>
    </row>
    <row r="60" spans="1:20" ht="15.75">
      <c r="A60" s="22" t="s">
        <v>33</v>
      </c>
      <c r="B60" s="22" t="s">
        <v>34</v>
      </c>
      <c r="C60" s="21"/>
      <c r="D60" s="21"/>
      <c r="E60" s="21"/>
      <c r="F60" s="21"/>
      <c r="G60" s="1"/>
      <c r="H60" s="1"/>
      <c r="I60" s="1"/>
      <c r="J60" s="54" t="s">
        <v>1</v>
      </c>
      <c r="K60" s="154"/>
      <c r="L60" s="173"/>
      <c r="M60" s="42" t="s">
        <v>1</v>
      </c>
      <c r="N60" s="154"/>
      <c r="O60" s="50"/>
      <c r="P60" s="42" t="s">
        <v>1</v>
      </c>
      <c r="Q60" s="154"/>
      <c r="R60" s="50"/>
      <c r="S60" s="42"/>
      <c r="T60" s="5"/>
    </row>
    <row r="61" spans="1:20" ht="15.75">
      <c r="A61" s="21"/>
      <c r="B61" s="21"/>
      <c r="C61" s="13" t="s">
        <v>35</v>
      </c>
      <c r="D61" s="3"/>
      <c r="E61" s="31"/>
      <c r="F61" s="31"/>
      <c r="J61" s="42">
        <v>0</v>
      </c>
      <c r="K61" s="154"/>
      <c r="L61" s="173"/>
      <c r="M61" s="42">
        <f>ROUND((J61*1.02),0)</f>
        <v>0</v>
      </c>
      <c r="N61" s="164"/>
      <c r="O61" s="144"/>
      <c r="P61" s="42">
        <f>ROUND((M61*1.02),0)</f>
        <v>0</v>
      </c>
      <c r="Q61" s="164"/>
      <c r="R61" s="144"/>
      <c r="S61" s="42">
        <f aca="true" t="shared" si="12" ref="S61:S72">SUM(J61:R61)</f>
        <v>0</v>
      </c>
      <c r="T61" s="5"/>
    </row>
    <row r="62" spans="1:20" ht="15.75">
      <c r="A62" s="21"/>
      <c r="B62" s="21"/>
      <c r="C62" s="13" t="s">
        <v>36</v>
      </c>
      <c r="D62" s="3"/>
      <c r="E62" s="31"/>
      <c r="F62" s="31"/>
      <c r="J62" s="42">
        <v>0</v>
      </c>
      <c r="K62" s="154"/>
      <c r="L62" s="173"/>
      <c r="M62" s="42">
        <f aca="true" t="shared" si="13" ref="M62:M67">ROUND((J62*1.02),0)</f>
        <v>0</v>
      </c>
      <c r="N62" s="164"/>
      <c r="O62" s="144"/>
      <c r="P62" s="42">
        <f aca="true" t="shared" si="14" ref="P62:P67">ROUND((M62*1.02),0)</f>
        <v>0</v>
      </c>
      <c r="Q62" s="164"/>
      <c r="R62" s="144"/>
      <c r="S62" s="42">
        <f t="shared" si="12"/>
        <v>0</v>
      </c>
      <c r="T62" s="5"/>
    </row>
    <row r="63" spans="1:20" ht="15.75">
      <c r="A63" s="21"/>
      <c r="B63" s="21"/>
      <c r="C63" s="13" t="s">
        <v>37</v>
      </c>
      <c r="D63" s="3"/>
      <c r="E63" s="31"/>
      <c r="F63" s="31"/>
      <c r="J63" s="42">
        <v>0</v>
      </c>
      <c r="K63" s="154"/>
      <c r="L63" s="173"/>
      <c r="M63" s="42">
        <f t="shared" si="13"/>
        <v>0</v>
      </c>
      <c r="N63" s="164"/>
      <c r="O63" s="144"/>
      <c r="P63" s="42">
        <f t="shared" si="14"/>
        <v>0</v>
      </c>
      <c r="Q63" s="165"/>
      <c r="R63" s="42"/>
      <c r="S63" s="42">
        <f t="shared" si="12"/>
        <v>0</v>
      </c>
      <c r="T63" s="5"/>
    </row>
    <row r="64" spans="1:20" ht="15.75">
      <c r="A64" s="21"/>
      <c r="B64" s="21"/>
      <c r="C64" s="13" t="s">
        <v>38</v>
      </c>
      <c r="D64" s="3"/>
      <c r="E64" s="31"/>
      <c r="F64" s="31"/>
      <c r="J64" s="42">
        <v>0</v>
      </c>
      <c r="K64" s="154"/>
      <c r="L64" s="173"/>
      <c r="M64" s="42">
        <f t="shared" si="13"/>
        <v>0</v>
      </c>
      <c r="N64" s="164"/>
      <c r="O64" s="144"/>
      <c r="P64" s="42">
        <f t="shared" si="14"/>
        <v>0</v>
      </c>
      <c r="Q64" s="164"/>
      <c r="R64" s="144"/>
      <c r="S64" s="42">
        <f t="shared" si="12"/>
        <v>0</v>
      </c>
      <c r="T64" s="5"/>
    </row>
    <row r="65" spans="1:20" ht="15.75">
      <c r="A65" s="21"/>
      <c r="B65" s="21"/>
      <c r="C65" s="227" t="s">
        <v>102</v>
      </c>
      <c r="D65" s="3"/>
      <c r="E65" s="31"/>
      <c r="F65" s="31"/>
      <c r="J65" s="42">
        <v>0</v>
      </c>
      <c r="K65" s="154"/>
      <c r="L65" s="173"/>
      <c r="M65" s="42">
        <f t="shared" si="13"/>
        <v>0</v>
      </c>
      <c r="N65" s="164"/>
      <c r="O65" s="144"/>
      <c r="P65" s="42">
        <f t="shared" si="14"/>
        <v>0</v>
      </c>
      <c r="Q65" s="164"/>
      <c r="R65" s="144"/>
      <c r="S65" s="42">
        <f t="shared" si="12"/>
        <v>0</v>
      </c>
      <c r="T65" s="5"/>
    </row>
    <row r="66" spans="1:20" ht="15.75">
      <c r="A66" s="21"/>
      <c r="B66" s="21"/>
      <c r="C66" s="13" t="s">
        <v>236</v>
      </c>
      <c r="D66" s="3"/>
      <c r="E66" s="31"/>
      <c r="F66" s="31"/>
      <c r="J66" s="42">
        <v>0</v>
      </c>
      <c r="K66" s="154"/>
      <c r="L66" s="173"/>
      <c r="M66" s="42">
        <f t="shared" si="13"/>
        <v>0</v>
      </c>
      <c r="N66" s="165"/>
      <c r="O66" s="42"/>
      <c r="P66" s="42">
        <f t="shared" si="14"/>
        <v>0</v>
      </c>
      <c r="Q66" s="165"/>
      <c r="R66" s="42"/>
      <c r="S66" s="42">
        <f t="shared" si="12"/>
        <v>0</v>
      </c>
      <c r="T66" s="5"/>
    </row>
    <row r="67" spans="1:20" ht="15.75">
      <c r="A67" s="21"/>
      <c r="B67" s="21"/>
      <c r="C67" s="13" t="s">
        <v>39</v>
      </c>
      <c r="D67" s="21"/>
      <c r="E67" s="21"/>
      <c r="F67" s="21"/>
      <c r="G67" s="1"/>
      <c r="H67" s="1"/>
      <c r="I67" s="1"/>
      <c r="J67" s="42">
        <v>0</v>
      </c>
      <c r="K67" s="154"/>
      <c r="L67" s="173"/>
      <c r="M67" s="42">
        <f t="shared" si="13"/>
        <v>0</v>
      </c>
      <c r="N67" s="165"/>
      <c r="O67" s="42"/>
      <c r="P67" s="42">
        <f t="shared" si="14"/>
        <v>0</v>
      </c>
      <c r="Q67" s="165"/>
      <c r="R67" s="42"/>
      <c r="S67" s="42">
        <f t="shared" si="12"/>
        <v>0</v>
      </c>
      <c r="T67" s="5"/>
    </row>
    <row r="68" spans="1:21" ht="15.75">
      <c r="A68" s="21"/>
      <c r="B68" s="21"/>
      <c r="C68" s="22" t="s">
        <v>40</v>
      </c>
      <c r="D68" s="10"/>
      <c r="E68" s="31"/>
      <c r="F68" s="31"/>
      <c r="J68" s="42">
        <v>0</v>
      </c>
      <c r="K68" s="154"/>
      <c r="L68" s="173"/>
      <c r="M68" s="42">
        <v>0</v>
      </c>
      <c r="N68" s="164"/>
      <c r="O68" s="144"/>
      <c r="P68" s="42">
        <v>0</v>
      </c>
      <c r="Q68" s="164"/>
      <c r="R68" s="144"/>
      <c r="S68" s="42">
        <f t="shared" si="12"/>
        <v>0</v>
      </c>
      <c r="T68" s="5"/>
      <c r="U68" s="76"/>
    </row>
    <row r="69" spans="1:21" ht="15.75">
      <c r="A69" s="21"/>
      <c r="B69" s="21"/>
      <c r="C69" s="63" t="s">
        <v>41</v>
      </c>
      <c r="D69" s="10"/>
      <c r="E69" s="31"/>
      <c r="F69" s="31"/>
      <c r="J69" s="42">
        <v>0</v>
      </c>
      <c r="K69" s="154"/>
      <c r="L69" s="173"/>
      <c r="M69" s="42">
        <v>0</v>
      </c>
      <c r="N69" s="164"/>
      <c r="O69" s="144"/>
      <c r="P69" s="42">
        <v>0</v>
      </c>
      <c r="Q69" s="164"/>
      <c r="R69" s="144"/>
      <c r="S69" s="42">
        <f t="shared" si="12"/>
        <v>0</v>
      </c>
      <c r="T69" s="5"/>
      <c r="U69" s="76"/>
    </row>
    <row r="70" spans="1:21" ht="15.75">
      <c r="A70" s="21"/>
      <c r="B70" s="21"/>
      <c r="C70" s="63" t="s">
        <v>94</v>
      </c>
      <c r="D70" s="10"/>
      <c r="E70" s="31"/>
      <c r="F70" s="31"/>
      <c r="J70" s="42">
        <v>0</v>
      </c>
      <c r="K70" s="154"/>
      <c r="L70" s="173"/>
      <c r="M70" s="42">
        <v>0</v>
      </c>
      <c r="N70" s="164"/>
      <c r="O70" s="144"/>
      <c r="P70" s="42">
        <v>0</v>
      </c>
      <c r="Q70" s="164"/>
      <c r="R70" s="144"/>
      <c r="S70" s="42">
        <f t="shared" si="12"/>
        <v>0</v>
      </c>
      <c r="T70" s="5"/>
      <c r="U70" s="76"/>
    </row>
    <row r="71" spans="1:21" ht="15">
      <c r="A71" s="21"/>
      <c r="B71" s="21"/>
      <c r="C71" s="63" t="s">
        <v>95</v>
      </c>
      <c r="D71" s="10"/>
      <c r="E71" s="31"/>
      <c r="F71" s="31"/>
      <c r="J71" s="42">
        <v>0</v>
      </c>
      <c r="K71" s="154"/>
      <c r="L71" s="173"/>
      <c r="M71" s="42">
        <v>0</v>
      </c>
      <c r="N71" s="164"/>
      <c r="O71" s="144"/>
      <c r="P71" s="42">
        <v>0</v>
      </c>
      <c r="Q71" s="164"/>
      <c r="R71" s="144"/>
      <c r="S71" s="42">
        <f t="shared" si="12"/>
        <v>0</v>
      </c>
      <c r="T71" s="5"/>
      <c r="U71" s="76"/>
    </row>
    <row r="72" spans="1:21" ht="15">
      <c r="A72" s="40" t="s">
        <v>42</v>
      </c>
      <c r="D72" s="28"/>
      <c r="E72" s="28"/>
      <c r="F72" s="28"/>
      <c r="G72" s="28"/>
      <c r="H72" s="28"/>
      <c r="I72" s="28"/>
      <c r="J72" s="51">
        <f>SUM(J61:J71)</f>
        <v>0</v>
      </c>
      <c r="K72" s="157"/>
      <c r="L72" s="176"/>
      <c r="M72" s="43">
        <f>SUM(M61:M71)</f>
        <v>0</v>
      </c>
      <c r="N72" s="157"/>
      <c r="O72" s="44"/>
      <c r="P72" s="43">
        <f>SUM(P61:P71)</f>
        <v>0</v>
      </c>
      <c r="Q72" s="157"/>
      <c r="R72" s="44"/>
      <c r="S72" s="43">
        <f t="shared" si="12"/>
        <v>0</v>
      </c>
      <c r="T72" s="34"/>
      <c r="U72" s="76"/>
    </row>
    <row r="73" spans="1:20" ht="7.5" customHeight="1">
      <c r="A73" s="21"/>
      <c r="B73" s="21"/>
      <c r="C73" s="26"/>
      <c r="D73" s="28"/>
      <c r="E73" s="28"/>
      <c r="F73" s="28"/>
      <c r="G73" s="26"/>
      <c r="H73" s="26"/>
      <c r="I73" s="26"/>
      <c r="J73" s="52"/>
      <c r="K73" s="153"/>
      <c r="L73" s="172"/>
      <c r="M73" s="46"/>
      <c r="N73" s="153"/>
      <c r="O73" s="46"/>
      <c r="P73" s="46"/>
      <c r="Q73" s="153"/>
      <c r="R73" s="46"/>
      <c r="S73" s="46" t="s">
        <v>1</v>
      </c>
      <c r="T73" s="6"/>
    </row>
    <row r="74" spans="1:20" ht="16.5">
      <c r="A74" s="28"/>
      <c r="B74" s="28"/>
      <c r="C74" s="28"/>
      <c r="D74" s="21"/>
      <c r="E74" s="32" t="s">
        <v>43</v>
      </c>
      <c r="F74" s="32"/>
      <c r="G74" s="39"/>
      <c r="H74" s="39"/>
      <c r="I74" s="39"/>
      <c r="J74" s="65">
        <f>ROUND(+J72+J51+J46+J41+J58,0)</f>
        <v>0</v>
      </c>
      <c r="K74" s="158"/>
      <c r="L74" s="177"/>
      <c r="M74" s="65">
        <f>ROUND(+M72+M51+M46+M41+M58,0)</f>
        <v>0</v>
      </c>
      <c r="N74" s="158"/>
      <c r="O74" s="65"/>
      <c r="P74" s="65">
        <f>ROUND(+P72+P51+P46+P41+P58,0)</f>
        <v>0</v>
      </c>
      <c r="Q74" s="158"/>
      <c r="R74" s="65"/>
      <c r="S74" s="65">
        <f>SUM(J74:R74)</f>
        <v>0</v>
      </c>
      <c r="T74" s="34"/>
    </row>
    <row r="75" spans="1:19" ht="7.5" customHeight="1">
      <c r="A75" s="28"/>
      <c r="B75" s="28"/>
      <c r="C75" s="28"/>
      <c r="D75" s="21"/>
      <c r="E75" s="32"/>
      <c r="F75" s="32"/>
      <c r="G75" s="39"/>
      <c r="H75" s="39"/>
      <c r="I75" s="39"/>
      <c r="J75" s="66"/>
      <c r="K75" s="158"/>
      <c r="L75" s="177"/>
      <c r="M75" s="65"/>
      <c r="N75" s="166"/>
      <c r="O75" s="192"/>
      <c r="P75" s="65"/>
      <c r="Q75" s="166"/>
      <c r="R75" s="192"/>
      <c r="S75" s="65"/>
    </row>
    <row r="76" spans="1:21" ht="15">
      <c r="A76" s="28"/>
      <c r="B76" s="28"/>
      <c r="C76" s="28"/>
      <c r="D76" s="21"/>
      <c r="G76" s="39"/>
      <c r="H76" s="92" t="s">
        <v>117</v>
      </c>
      <c r="I76" s="39"/>
      <c r="J76" s="74">
        <f>(IF((J68)&gt;25000,(25000),J68)+((IF((J69)&gt;25000,(25000),J69))+((IF((J70)&gt;25000,(25000),J70))+((IF((J71)&gt;25000,(25000),J71))+SUM(J74-J46-J65-J68-J69-J70-J71-J58)))))</f>
        <v>0</v>
      </c>
      <c r="K76" s="159"/>
      <c r="L76" s="178"/>
      <c r="M76" s="74">
        <f>IF(J68&gt;=(25000),0,((IF((J68+M68)&lt;=(25000),M68,(25000-J68)))))+IF(J69&gt;=(25000),0,((IF((J69+M69)&lt;=(25000),M69,(25000-J69)))))+IF(J70&gt;=(25000),0,((IF((J70+M70)&lt;=(25000),M70,(25000-J70)))))+IF(J71&gt;=(25000),0,((IF((J71+M71)&lt;=(25000),M71,(25000-J71)))))+SUM(M74-M46-M65-M68-M69-M70-M71-M58)</f>
        <v>0</v>
      </c>
      <c r="N76" s="159"/>
      <c r="O76" s="193"/>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59"/>
      <c r="R76" s="193"/>
      <c r="S76" s="74">
        <f>SUM(J76:R76)</f>
        <v>0</v>
      </c>
      <c r="U76" s="76"/>
    </row>
    <row r="77" spans="1:22" ht="15">
      <c r="A77" s="33" t="s">
        <v>116</v>
      </c>
      <c r="B77" s="1"/>
      <c r="C77" s="1"/>
      <c r="J77" s="42"/>
      <c r="K77" s="160"/>
      <c r="L77" s="179"/>
      <c r="M77" s="50"/>
      <c r="N77" s="160"/>
      <c r="O77" s="56"/>
      <c r="P77" s="50"/>
      <c r="Q77" s="160"/>
      <c r="R77" s="56"/>
      <c r="S77" s="50"/>
      <c r="T77" s="5"/>
      <c r="V77" s="75"/>
    </row>
    <row r="78" spans="1:20" ht="15">
      <c r="A78" s="13" t="s">
        <v>119</v>
      </c>
      <c r="B78" s="1"/>
      <c r="D78" s="7">
        <f>IF(AND(($E$89)="R",($E$91)="C"),('RATES-Fed'!E46),IF(AND(($E$89)="R",($E$91)="O"),('RATES-Fed'!E51),IF(AND(($E$89)="I",($E$91)="C"),('RATES-Fed'!E47),IF(AND(($E$89)="I",($E$91)="O"),('RATES-Fed'!E52),IF(AND(($E$89)="P",($E$91)="C"),('RATES-Fed'!E48),IF(AND(($E$89)="P",($E$91)="O"),('RATES-Fed'!E53),($E$90)))))))</f>
        <v>0.6175</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c r="H78" s="7"/>
      <c r="J78" s="50">
        <f>ROUND(+D78*(J74-J46-J68-J69-J70-J71-J65-J58),0)</f>
        <v>0</v>
      </c>
      <c r="K78" s="154"/>
      <c r="L78" s="173"/>
      <c r="M78" s="50">
        <f>ROUND(+E78*(M74-M46-M68-M69-M70-M71-M65-M58),0)</f>
        <v>0</v>
      </c>
      <c r="N78" s="154"/>
      <c r="O78" s="50"/>
      <c r="P78" s="50">
        <f>ROUND(+F78*(P74-P46-P68-P69-P70-P71-P65-P58),0)</f>
        <v>0</v>
      </c>
      <c r="Q78" s="154"/>
      <c r="R78" s="50"/>
      <c r="S78" s="50">
        <f aca="true" t="shared" si="15" ref="S78:S83">SUM(J78:R78)</f>
        <v>0</v>
      </c>
      <c r="T78" s="5"/>
    </row>
    <row r="79" spans="1:20" ht="15">
      <c r="A79" s="13" t="s">
        <v>44</v>
      </c>
      <c r="D79" s="7">
        <f aca="true" t="shared" si="16" ref="D79:F81">+D78</f>
        <v>0.6175</v>
      </c>
      <c r="E79" s="7">
        <f t="shared" si="16"/>
        <v>0.62</v>
      </c>
      <c r="F79" s="7">
        <f t="shared" si="16"/>
        <v>0.62</v>
      </c>
      <c r="G79" s="7"/>
      <c r="H79" s="7"/>
      <c r="J79" s="50">
        <f>(IF((J68)&gt;25000,(25000),J68)*D79)</f>
        <v>0</v>
      </c>
      <c r="K79" s="50"/>
      <c r="L79" s="50"/>
      <c r="M79" s="50">
        <f>IF(J68&gt;=(25000),0,((IF((J68+M68)&lt;=(25000),M68,(25000-J68))))*E79)</f>
        <v>0</v>
      </c>
      <c r="N79" s="263"/>
      <c r="O79" s="50"/>
      <c r="P79" s="50">
        <f>IF(J68&gt;=(25000),0,(((IF((J68+M68)&gt;=(25000),0,((IF((J68+M68+P68)&lt;=(25000),P68,(25000-SUM(J68+M68)))))))))*F79)</f>
        <v>0</v>
      </c>
      <c r="Q79" s="154"/>
      <c r="R79" s="50"/>
      <c r="S79" s="50">
        <f t="shared" si="15"/>
        <v>0</v>
      </c>
      <c r="T79" s="5"/>
    </row>
    <row r="80" spans="1:20" ht="15">
      <c r="A80" s="13" t="s">
        <v>45</v>
      </c>
      <c r="D80" s="7">
        <f t="shared" si="16"/>
        <v>0.6175</v>
      </c>
      <c r="E80" s="7">
        <f t="shared" si="16"/>
        <v>0.62</v>
      </c>
      <c r="F80" s="7">
        <f t="shared" si="16"/>
        <v>0.62</v>
      </c>
      <c r="G80" s="7"/>
      <c r="H80" s="7"/>
      <c r="J80" s="50">
        <f>(IF((J69)&gt;25000,(25000),J69)*D80)</f>
        <v>0</v>
      </c>
      <c r="K80" s="263"/>
      <c r="L80" s="173"/>
      <c r="M80" s="50">
        <f>IF(J69&gt;=(25000),0,((IF((J69+M69)&lt;=(25000),M69,(25000-J69))))*E80)</f>
        <v>0</v>
      </c>
      <c r="N80" s="263"/>
      <c r="O80" s="50"/>
      <c r="P80" s="50">
        <f>IF(J69&gt;=(25000),0,(((IF((J69+M69)&gt;=(25000),0,((IF((J69+M69+P69)&lt;=(25000),P69,(25000-SUM(J69+M69)))))))))*F80)</f>
        <v>0</v>
      </c>
      <c r="Q80" s="154"/>
      <c r="R80" s="50"/>
      <c r="S80" s="50">
        <f>SUM(J80:R80)</f>
        <v>0</v>
      </c>
      <c r="T80" s="5"/>
    </row>
    <row r="81" spans="1:20" ht="15">
      <c r="A81" s="13" t="s">
        <v>92</v>
      </c>
      <c r="D81" s="7">
        <f t="shared" si="16"/>
        <v>0.6175</v>
      </c>
      <c r="E81" s="7">
        <f t="shared" si="16"/>
        <v>0.62</v>
      </c>
      <c r="F81" s="7">
        <f t="shared" si="16"/>
        <v>0.62</v>
      </c>
      <c r="G81" s="7"/>
      <c r="H81" s="7"/>
      <c r="J81" s="50">
        <f>(IF((J70)&gt;25000,(25000),J70)*D81)</f>
        <v>0</v>
      </c>
      <c r="K81" s="263"/>
      <c r="L81" s="173"/>
      <c r="M81" s="50">
        <f>IF(J70&gt;=(25000),0,((IF((J70+M70)&lt;=(25000),M70,(25000-J70))))*E81)</f>
        <v>0</v>
      </c>
      <c r="N81" s="263"/>
      <c r="O81" s="50"/>
      <c r="P81" s="50">
        <f>IF(J70&gt;=(25000),0,(((IF((J70+M70)&gt;=(25000),0,((IF((J70+M70+P70)&lt;=(25000),P70,(25000-SUM(J70+M70)))))))))*F81)</f>
        <v>0</v>
      </c>
      <c r="Q81" s="154"/>
      <c r="R81" s="50"/>
      <c r="S81" s="50">
        <f t="shared" si="15"/>
        <v>0</v>
      </c>
      <c r="T81" s="5"/>
    </row>
    <row r="82" spans="1:20" ht="15">
      <c r="A82" s="13" t="s">
        <v>93</v>
      </c>
      <c r="B82" s="1"/>
      <c r="C82" s="1"/>
      <c r="D82" s="7">
        <f>+D79</f>
        <v>0.6175</v>
      </c>
      <c r="E82" s="7">
        <f>+E79</f>
        <v>0.62</v>
      </c>
      <c r="F82" s="7">
        <f>+F79</f>
        <v>0.62</v>
      </c>
      <c r="G82" s="7"/>
      <c r="H82" s="7"/>
      <c r="J82" s="50">
        <f>(IF((J71)&gt;25000,(25000),J71)*D82)</f>
        <v>0</v>
      </c>
      <c r="K82" s="263"/>
      <c r="L82" s="173"/>
      <c r="M82" s="50">
        <f>IF(J71&gt;=(25000),0,((IF((J71+M71)&lt;=(25000),M71,(25000-J71))))*E82)</f>
        <v>0</v>
      </c>
      <c r="N82" s="263"/>
      <c r="O82" s="50"/>
      <c r="P82" s="50">
        <f>IF(J71&gt;=(25000),0,(((IF((J71+M71)&gt;=(25000),0,((IF((J71+M71+P71)&lt;=(25000),P71,(25000-SUM(J71+M71)))))))))*F82)</f>
        <v>0</v>
      </c>
      <c r="Q82" s="154"/>
      <c r="R82" s="50"/>
      <c r="S82" s="50">
        <f t="shared" si="15"/>
        <v>0</v>
      </c>
      <c r="T82" s="5"/>
    </row>
    <row r="83" spans="1:20" ht="15">
      <c r="A83" s="40" t="s">
        <v>118</v>
      </c>
      <c r="B83" s="1"/>
      <c r="C83" s="24"/>
      <c r="D83" s="35"/>
      <c r="E83" s="7"/>
      <c r="F83" s="7"/>
      <c r="G83" s="7"/>
      <c r="H83" s="7"/>
      <c r="I83" s="7"/>
      <c r="J83" s="53">
        <f>SUM(J78:J82)</f>
        <v>0</v>
      </c>
      <c r="K83" s="157"/>
      <c r="L83" s="176"/>
      <c r="M83" s="53">
        <f>SUM(M78:M82)</f>
        <v>0</v>
      </c>
      <c r="N83" s="157"/>
      <c r="O83" s="44"/>
      <c r="P83" s="53">
        <f>SUM(P78:P82)</f>
        <v>0</v>
      </c>
      <c r="Q83" s="157"/>
      <c r="R83" s="44"/>
      <c r="S83" s="53">
        <f t="shared" si="15"/>
        <v>0</v>
      </c>
      <c r="T83" s="5"/>
    </row>
    <row r="84" spans="1:20" ht="6.75" customHeight="1">
      <c r="A84" s="40"/>
      <c r="B84" s="1"/>
      <c r="C84" s="24"/>
      <c r="D84" s="35"/>
      <c r="E84" s="7"/>
      <c r="F84" s="7"/>
      <c r="G84" s="7"/>
      <c r="H84" s="7"/>
      <c r="I84" s="7"/>
      <c r="J84" s="61"/>
      <c r="K84" s="157"/>
      <c r="L84" s="176"/>
      <c r="M84" s="62"/>
      <c r="N84" s="157"/>
      <c r="O84" s="44"/>
      <c r="P84" s="62"/>
      <c r="Q84" s="157"/>
      <c r="R84" s="44"/>
      <c r="S84" s="62"/>
      <c r="T84" s="5"/>
    </row>
    <row r="85" spans="1:20" ht="18" thickBot="1">
      <c r="A85" s="40"/>
      <c r="B85" s="1"/>
      <c r="C85" s="60" t="s">
        <v>46</v>
      </c>
      <c r="D85" s="35"/>
      <c r="E85" s="7"/>
      <c r="F85" s="7"/>
      <c r="G85" s="7"/>
      <c r="H85" s="7"/>
      <c r="I85" s="7"/>
      <c r="J85" s="72">
        <f>J83+J74</f>
        <v>0</v>
      </c>
      <c r="K85" s="158"/>
      <c r="L85" s="177"/>
      <c r="M85" s="72">
        <f>M83+M74</f>
        <v>0</v>
      </c>
      <c r="N85" s="158"/>
      <c r="O85" s="65"/>
      <c r="P85" s="72">
        <f>P83+P74</f>
        <v>0</v>
      </c>
      <c r="Q85" s="158"/>
      <c r="R85" s="65"/>
      <c r="S85" s="72">
        <f>SUM(J85:R85)</f>
        <v>0</v>
      </c>
      <c r="T85" s="5"/>
    </row>
    <row r="86" spans="1:20" ht="8.25" customHeight="1" thickTop="1">
      <c r="A86" s="28"/>
      <c r="B86" s="1"/>
      <c r="C86" s="35"/>
      <c r="D86" s="7"/>
      <c r="E86" s="7"/>
      <c r="F86" s="7"/>
      <c r="G86" s="7"/>
      <c r="H86" s="7"/>
      <c r="I86" s="7"/>
      <c r="J86" s="50"/>
      <c r="K86" s="154"/>
      <c r="L86" s="173"/>
      <c r="M86" s="50"/>
      <c r="N86" s="154"/>
      <c r="O86" s="50"/>
      <c r="P86" s="50"/>
      <c r="Q86" s="154"/>
      <c r="R86" s="50"/>
      <c r="S86" s="50" t="s">
        <v>1</v>
      </c>
      <c r="T86" s="5"/>
    </row>
    <row r="87" spans="1:20" ht="9" customHeight="1">
      <c r="A87" s="1"/>
      <c r="B87" s="1"/>
      <c r="C87" s="1"/>
      <c r="D87" s="1"/>
      <c r="E87" s="1"/>
      <c r="F87" s="1"/>
      <c r="G87" s="1"/>
      <c r="H87" s="1"/>
      <c r="I87" s="1"/>
      <c r="J87" s="49"/>
      <c r="K87" s="161"/>
      <c r="L87" s="180"/>
      <c r="M87" s="58"/>
      <c r="N87" s="161"/>
      <c r="O87" s="57"/>
      <c r="P87" s="58"/>
      <c r="Q87" s="161"/>
      <c r="R87" s="57"/>
      <c r="S87" s="58"/>
      <c r="T87" s="1"/>
    </row>
    <row r="88" ht="15">
      <c r="C88" s="36" t="s">
        <v>120</v>
      </c>
    </row>
    <row r="89" spans="3:7" ht="15">
      <c r="C89" s="14" t="s">
        <v>47</v>
      </c>
      <c r="E89" s="15" t="s">
        <v>48</v>
      </c>
      <c r="G89" s="14" t="s">
        <v>49</v>
      </c>
    </row>
    <row r="90" spans="3:6" ht="15">
      <c r="C90" s="14" t="s">
        <v>177</v>
      </c>
      <c r="E90" s="9">
        <v>0.1</v>
      </c>
      <c r="F90" s="9"/>
    </row>
    <row r="91" spans="3:7" ht="15">
      <c r="C91" s="14" t="s">
        <v>50</v>
      </c>
      <c r="E91" s="168" t="s">
        <v>51</v>
      </c>
      <c r="G91" s="14" t="s">
        <v>52</v>
      </c>
    </row>
    <row r="93" spans="4:16" ht="15">
      <c r="D93" s="216" t="s">
        <v>199</v>
      </c>
      <c r="H93" s="214">
        <f>+'RATES-Fed'!E31</f>
        <v>0.605</v>
      </c>
      <c r="J93" s="213">
        <f>J83/12*'RATES-Fed'!$C$46</f>
        <v>0</v>
      </c>
      <c r="L93" s="214">
        <f>+'RATES-Fed'!G31</f>
        <v>0.62</v>
      </c>
      <c r="M93" s="213">
        <f>M83/12*'RATES-Fed'!$C$46</f>
        <v>0</v>
      </c>
      <c r="O93" s="215">
        <f>+'RATES-Fed'!I31</f>
        <v>0.62</v>
      </c>
      <c r="P93" s="213">
        <f>P83/12*'RATES-Fed'!$C$46</f>
        <v>0</v>
      </c>
    </row>
    <row r="94" spans="4:16" ht="15">
      <c r="D94" s="307" t="s">
        <v>200</v>
      </c>
      <c r="E94" s="307"/>
      <c r="F94" s="307"/>
      <c r="G94" s="307"/>
      <c r="H94" s="214">
        <f>+'RATES-Fed'!G31</f>
        <v>0.62</v>
      </c>
      <c r="J94" s="213">
        <f>J83/12*'RATES-Fed'!$D$46</f>
        <v>0</v>
      </c>
      <c r="L94" s="214">
        <f>+'RATES-Fed'!I31</f>
        <v>0.62</v>
      </c>
      <c r="M94" s="213">
        <f>M83/12*'RATES-Fed'!$D$46</f>
        <v>0</v>
      </c>
      <c r="O94" s="215">
        <f>+'RATES-Fed'!K31</f>
        <v>0.62</v>
      </c>
      <c r="P94" s="213">
        <f>P83/12*'RATES-Fed'!$D$46</f>
        <v>0</v>
      </c>
    </row>
    <row r="95" spans="4:19" ht="17.25">
      <c r="D95" s="307"/>
      <c r="E95" s="307"/>
      <c r="F95" s="307"/>
      <c r="G95" s="307"/>
      <c r="J95" s="213">
        <f>SUM(J93:J94)</f>
        <v>0</v>
      </c>
      <c r="M95" s="213">
        <f>SUM(M93:M94)</f>
        <v>0</v>
      </c>
      <c r="P95" s="213">
        <f>SUM(P93:P94)</f>
        <v>0</v>
      </c>
      <c r="Q95" s="318">
        <f>'RATES-Fed'!Q67</f>
        <v>0</v>
      </c>
      <c r="R95" s="318"/>
      <c r="S95" s="318"/>
    </row>
  </sheetData>
  <sheetProtection/>
  <mergeCells count="6">
    <mergeCell ref="K4:R5"/>
    <mergeCell ref="J8:L8"/>
    <mergeCell ref="M8:O8"/>
    <mergeCell ref="P8:R8"/>
    <mergeCell ref="Q95:S95"/>
    <mergeCell ref="D94:G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pageMargins left="0.5" right="0.3" top="0.5" bottom="0.5" header="0.5" footer="0.5"/>
  <pageSetup fitToHeight="1" fitToWidth="1" horizontalDpi="300" verticalDpi="300" orientation="landscape" scale="40"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95"/>
  <sheetViews>
    <sheetView showGridLines="0" zoomScale="75" zoomScaleNormal="75" workbookViewId="0" topLeftCell="A1">
      <selection activeCell="D11" sqref="D1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2" customWidth="1"/>
    <col min="12" max="12" width="10.125" style="181" bestFit="1" customWidth="1"/>
    <col min="13" max="13" width="11.25390625" style="0" customWidth="1"/>
    <col min="14" max="14" width="9.25390625" style="162" bestFit="1" customWidth="1"/>
    <col min="15" max="15" width="9.50390625" style="90" bestFit="1" customWidth="1"/>
    <col min="16" max="16" width="11.25390625" style="0" customWidth="1"/>
    <col min="17" max="17" width="9.25390625" style="162" bestFit="1" customWidth="1"/>
    <col min="18" max="18" width="8.75390625" style="90" bestFit="1" customWidth="1"/>
    <col min="19" max="19" width="11.25390625" style="0" customWidth="1"/>
    <col min="20" max="20" width="9.25390625" style="162" bestFit="1" customWidth="1"/>
    <col min="21" max="21" width="8.75390625" style="90" bestFit="1" customWidth="1"/>
    <col min="22" max="22" width="14.625" style="0" customWidth="1"/>
    <col min="23" max="23" width="2.625" style="0" customWidth="1"/>
  </cols>
  <sheetData>
    <row r="1" spans="1:21" ht="18.75">
      <c r="A1" s="17" t="s">
        <v>0</v>
      </c>
      <c r="B1" s="18"/>
      <c r="C1" s="18"/>
      <c r="D1" s="18"/>
      <c r="E1" s="18"/>
      <c r="F1" s="18"/>
      <c r="G1" s="18"/>
      <c r="H1" s="18"/>
      <c r="I1" s="18"/>
      <c r="J1" s="19"/>
      <c r="K1" s="148"/>
      <c r="L1" s="169"/>
      <c r="M1" s="37"/>
      <c r="N1" s="163"/>
      <c r="O1" s="191"/>
      <c r="P1" s="37"/>
      <c r="Q1" s="163"/>
      <c r="R1" s="191"/>
      <c r="S1" s="37"/>
      <c r="T1" s="163"/>
      <c r="U1" s="191"/>
    </row>
    <row r="2" spans="1:22" ht="18.75">
      <c r="A2" s="17" t="s">
        <v>186</v>
      </c>
      <c r="B2" s="18"/>
      <c r="C2" s="18"/>
      <c r="D2" s="18"/>
      <c r="E2" s="18"/>
      <c r="F2" s="18"/>
      <c r="G2" s="18"/>
      <c r="H2" s="18"/>
      <c r="I2" s="18"/>
      <c r="J2" s="19"/>
      <c r="K2" s="148"/>
      <c r="L2" s="169"/>
      <c r="M2" s="37"/>
      <c r="N2" s="163"/>
      <c r="O2" s="191"/>
      <c r="P2" s="37"/>
      <c r="Q2" s="163"/>
      <c r="R2" s="191"/>
      <c r="S2" s="37"/>
      <c r="T2" s="163"/>
      <c r="U2" s="191"/>
      <c r="V2" s="37"/>
    </row>
    <row r="3" spans="1:22" ht="9.75" customHeight="1">
      <c r="A3" s="10" t="s">
        <v>1</v>
      </c>
      <c r="B3" s="1"/>
      <c r="J3" s="11" t="s">
        <v>1</v>
      </c>
      <c r="K3" s="149"/>
      <c r="L3" s="170"/>
      <c r="M3" s="8"/>
      <c r="P3" s="8"/>
      <c r="S3" s="8"/>
      <c r="V3" s="8"/>
    </row>
    <row r="4" spans="1:22" ht="15.75">
      <c r="A4" s="22" t="s">
        <v>2</v>
      </c>
      <c r="B4" s="1"/>
      <c r="D4" s="10" t="s">
        <v>70</v>
      </c>
      <c r="G4" s="3"/>
      <c r="J4" s="20" t="s">
        <v>3</v>
      </c>
      <c r="K4" s="308" t="s">
        <v>70</v>
      </c>
      <c r="L4" s="309"/>
      <c r="M4" s="310"/>
      <c r="N4" s="310"/>
      <c r="O4" s="310"/>
      <c r="P4" s="310"/>
      <c r="Q4" s="310"/>
      <c r="R4" s="310"/>
      <c r="S4" s="310"/>
      <c r="T4" s="310"/>
      <c r="U4" s="311"/>
      <c r="V4" s="8"/>
    </row>
    <row r="5" spans="1:22" ht="18.75">
      <c r="A5" s="22" t="s">
        <v>4</v>
      </c>
      <c r="B5" s="1"/>
      <c r="D5" s="10" t="s">
        <v>70</v>
      </c>
      <c r="E5" s="3"/>
      <c r="F5" s="3"/>
      <c r="H5" s="2"/>
      <c r="I5" s="2"/>
      <c r="J5" s="38"/>
      <c r="K5" s="312"/>
      <c r="L5" s="313"/>
      <c r="M5" s="313"/>
      <c r="N5" s="313"/>
      <c r="O5" s="313"/>
      <c r="P5" s="313"/>
      <c r="Q5" s="313"/>
      <c r="R5" s="313"/>
      <c r="S5" s="313"/>
      <c r="T5" s="313"/>
      <c r="U5" s="314"/>
      <c r="V5" s="8"/>
    </row>
    <row r="6" spans="1:22" ht="15.75">
      <c r="A6" s="14"/>
      <c r="B6" s="22" t="s">
        <v>5</v>
      </c>
      <c r="D6" s="73">
        <f>'RATES-Fed'!E2</f>
        <v>44317</v>
      </c>
      <c r="E6" s="12" t="s">
        <v>6</v>
      </c>
      <c r="F6" s="12"/>
      <c r="G6" s="73">
        <f>'RATES-Fed'!G2</f>
        <v>46142</v>
      </c>
      <c r="H6" s="4"/>
      <c r="I6" s="4"/>
      <c r="J6" s="2"/>
      <c r="K6" s="150"/>
      <c r="L6" s="171"/>
      <c r="M6" s="3"/>
      <c r="N6" s="150"/>
      <c r="O6" s="145"/>
      <c r="P6" s="3"/>
      <c r="Q6" s="150"/>
      <c r="R6" s="145"/>
      <c r="S6" s="3"/>
      <c r="T6" s="150"/>
      <c r="U6" s="145"/>
      <c r="V6" s="8"/>
    </row>
    <row r="7" spans="5:23" ht="7.5" customHeight="1">
      <c r="E7" s="3"/>
      <c r="F7" s="3"/>
      <c r="G7" s="1"/>
      <c r="H7" s="1"/>
      <c r="I7" s="1"/>
      <c r="J7" s="16" t="s">
        <v>1</v>
      </c>
      <c r="K7" s="149"/>
      <c r="L7" s="170"/>
      <c r="M7" s="8"/>
      <c r="N7" s="149"/>
      <c r="O7" s="139"/>
      <c r="P7" s="8"/>
      <c r="Q7" s="149"/>
      <c r="R7" s="139"/>
      <c r="S7" s="8"/>
      <c r="T7" s="149"/>
      <c r="U7" s="139"/>
      <c r="V7" s="8"/>
      <c r="W7" s="1"/>
    </row>
    <row r="8" spans="1:23" ht="15.75">
      <c r="A8" s="21"/>
      <c r="B8" s="21"/>
      <c r="C8" s="21"/>
      <c r="D8" s="21"/>
      <c r="E8" s="21"/>
      <c r="F8" s="21"/>
      <c r="G8" s="21"/>
      <c r="H8" s="21"/>
      <c r="I8" s="21"/>
      <c r="J8" s="297" t="s">
        <v>21</v>
      </c>
      <c r="K8" s="298"/>
      <c r="L8" s="299"/>
      <c r="M8" s="315" t="s">
        <v>54</v>
      </c>
      <c r="N8" s="316"/>
      <c r="O8" s="317"/>
      <c r="P8" s="315" t="s">
        <v>56</v>
      </c>
      <c r="Q8" s="316"/>
      <c r="R8" s="317"/>
      <c r="S8" s="315" t="s">
        <v>58</v>
      </c>
      <c r="T8" s="316"/>
      <c r="U8" s="317"/>
      <c r="V8" s="167" t="s">
        <v>8</v>
      </c>
      <c r="W8" s="21"/>
    </row>
    <row r="9" spans="1:23" s="143" customFormat="1" ht="15.75">
      <c r="A9" s="141" t="s">
        <v>9</v>
      </c>
      <c r="B9" s="141" t="s">
        <v>10</v>
      </c>
      <c r="C9" s="141"/>
      <c r="D9" s="141"/>
      <c r="E9" s="141"/>
      <c r="F9" s="141"/>
      <c r="G9" s="141"/>
      <c r="H9" s="141"/>
      <c r="I9" s="141"/>
      <c r="J9" s="185" t="s">
        <v>182</v>
      </c>
      <c r="K9" s="151" t="s">
        <v>183</v>
      </c>
      <c r="L9" s="141" t="s">
        <v>184</v>
      </c>
      <c r="M9" s="190" t="s">
        <v>182</v>
      </c>
      <c r="N9" s="151" t="s">
        <v>183</v>
      </c>
      <c r="O9" s="141" t="s">
        <v>184</v>
      </c>
      <c r="P9" s="190" t="s">
        <v>182</v>
      </c>
      <c r="Q9" s="151" t="s">
        <v>183</v>
      </c>
      <c r="R9" s="141" t="s">
        <v>184</v>
      </c>
      <c r="S9" s="190" t="s">
        <v>182</v>
      </c>
      <c r="T9" s="151" t="s">
        <v>183</v>
      </c>
      <c r="U9" s="141" t="s">
        <v>184</v>
      </c>
      <c r="V9" s="142"/>
      <c r="W9" s="141"/>
    </row>
    <row r="10" spans="1:23" ht="15.75">
      <c r="A10" s="1"/>
      <c r="B10" s="23" t="s">
        <v>11</v>
      </c>
      <c r="C10" s="24"/>
      <c r="D10" s="24" t="s">
        <v>101</v>
      </c>
      <c r="E10" s="1" t="s">
        <v>12</v>
      </c>
      <c r="F10" s="41" t="s">
        <v>123</v>
      </c>
      <c r="G10" s="41" t="s">
        <v>13</v>
      </c>
      <c r="H10" s="1"/>
      <c r="I10" s="1"/>
      <c r="J10" s="186"/>
      <c r="K10" s="149"/>
      <c r="L10" s="139"/>
      <c r="M10" s="186"/>
      <c r="N10" s="149"/>
      <c r="O10" s="139"/>
      <c r="P10" s="186"/>
      <c r="Q10" s="149"/>
      <c r="R10" s="139"/>
      <c r="S10" s="186"/>
      <c r="T10" s="149"/>
      <c r="U10" s="139"/>
      <c r="V10" s="2">
        <f>IF(SUM(J10:N10)=0,"",SUM(J10:N10))</f>
      </c>
      <c r="W10" s="1"/>
    </row>
    <row r="11" spans="1:23" ht="15.75">
      <c r="A11" s="1"/>
      <c r="B11" s="1" t="s">
        <v>14</v>
      </c>
      <c r="C11" s="10" t="str">
        <f>D5</f>
        <v>name</v>
      </c>
      <c r="D11" s="136" t="s">
        <v>125</v>
      </c>
      <c r="E11" s="70">
        <v>0</v>
      </c>
      <c r="F11" s="95">
        <f>IF(D11="CAL",(52*E11/4.3333),(IF(D11="ACAD",(36.35*E11/4.33333),IF(D11="SUMR",(15.65*E11/4.33333),IF(D11="PT",(0),0)))))</f>
        <v>0</v>
      </c>
      <c r="G11" s="69">
        <v>0</v>
      </c>
      <c r="J11" s="183">
        <f>ROUND(G11*E11,0)</f>
        <v>0</v>
      </c>
      <c r="K11" s="152">
        <f>ROUND(J11*'RATES-Fed'!E38,0)</f>
        <v>0</v>
      </c>
      <c r="L11" s="67">
        <f>ROUND(K11+J11,0)</f>
        <v>0</v>
      </c>
      <c r="M11" s="183">
        <f>ROUND((J11*1.025),0)</f>
        <v>0</v>
      </c>
      <c r="N11" s="152">
        <f>ROUND(M11*'RATES-Fed'!G38,0)</f>
        <v>0</v>
      </c>
      <c r="O11" s="67">
        <f aca="true" t="shared" si="0" ref="O11:O18">ROUND(M11+N11,0)</f>
        <v>0</v>
      </c>
      <c r="P11" s="183">
        <f>ROUND((M11*1.0275),0)</f>
        <v>0</v>
      </c>
      <c r="Q11" s="152">
        <f>ROUND(P11*'RATES-Fed'!I38,0)</f>
        <v>0</v>
      </c>
      <c r="R11" s="67">
        <f>SUM(P11:Q11)</f>
        <v>0</v>
      </c>
      <c r="S11" s="183">
        <f>ROUND((P11*1.03),0)</f>
        <v>0</v>
      </c>
      <c r="T11" s="152">
        <f>ROUND(S11*'RATES-Fed'!K38,0)</f>
        <v>0</v>
      </c>
      <c r="U11" s="67">
        <f>SUM(S11:T11)</f>
        <v>0</v>
      </c>
      <c r="V11" s="42">
        <f>SUM(L11+O11+R11+U11)</f>
        <v>0</v>
      </c>
      <c r="W11" s="1"/>
    </row>
    <row r="12" spans="1:23" ht="15.75">
      <c r="A12" s="1"/>
      <c r="B12" s="1" t="s">
        <v>14</v>
      </c>
      <c r="C12" s="3"/>
      <c r="D12" s="136" t="str">
        <f>IF(D11="ACAD",("SUMR"),"")</f>
        <v>SUMR</v>
      </c>
      <c r="E12" s="70">
        <v>0</v>
      </c>
      <c r="F12" s="95">
        <f>IF(D12="CAL",(52*E12/4.3333),(IF(D12="ACAD",(36.35*E12/4.33333),IF(D12="SUMR",(15.65*E12/4.33333),IF(D12="PT",(0),0)))))</f>
        <v>0</v>
      </c>
      <c r="G12" s="69">
        <f>+G11*0.4375</f>
        <v>0</v>
      </c>
      <c r="J12" s="183">
        <f aca="true" t="shared" si="1" ref="J12:J18">ROUND(G12*E12,0)</f>
        <v>0</v>
      </c>
      <c r="K12" s="152">
        <f>ROUND(J12*'RATES-Fed'!E38,0)</f>
        <v>0</v>
      </c>
      <c r="L12" s="67">
        <f aca="true" t="shared" si="2" ref="L12:L18">ROUND(K12+J12,0)</f>
        <v>0</v>
      </c>
      <c r="M12" s="183">
        <f aca="true" t="shared" si="3" ref="M12:M18">ROUND((J12*1.025),0)</f>
        <v>0</v>
      </c>
      <c r="N12" s="152">
        <f>ROUND(M12*'RATES-Fed'!G38,0)</f>
        <v>0</v>
      </c>
      <c r="O12" s="67">
        <f t="shared" si="0"/>
        <v>0</v>
      </c>
      <c r="P12" s="183">
        <f aca="true" t="shared" si="4" ref="P12:P18">ROUND((M12*1.0275),0)</f>
        <v>0</v>
      </c>
      <c r="Q12" s="152">
        <f>ROUND(P12*'RATES-Fed'!I38,0)</f>
        <v>0</v>
      </c>
      <c r="R12" s="67">
        <f aca="true" t="shared" si="5" ref="R12:R18">SUM(P12:Q12)</f>
        <v>0</v>
      </c>
      <c r="S12" s="183">
        <f aca="true" t="shared" si="6" ref="S12:S18">ROUND((P12*1.03),0)</f>
        <v>0</v>
      </c>
      <c r="T12" s="152">
        <f>ROUND(S12*'RATES-Fed'!K38,0)</f>
        <v>0</v>
      </c>
      <c r="U12" s="67">
        <f aca="true" t="shared" si="7" ref="U12:U18">SUM(S12:T12)</f>
        <v>0</v>
      </c>
      <c r="V12" s="42">
        <f aca="true" t="shared" si="8" ref="V12:V18">SUM(L12+O12+R12+U12)</f>
        <v>0</v>
      </c>
      <c r="W12" s="1"/>
    </row>
    <row r="13" spans="1:23" ht="15.75">
      <c r="A13" s="1"/>
      <c r="B13" s="1" t="s">
        <v>15</v>
      </c>
      <c r="C13" s="3"/>
      <c r="D13" s="136" t="s">
        <v>125</v>
      </c>
      <c r="E13" s="70">
        <v>0</v>
      </c>
      <c r="F13" s="95">
        <f aca="true" t="shared" si="9" ref="F13:F18">IF(D13="CAL",(52*E13/4.3333),(IF(D13="ACAD",(36.35*E13/4.33333),IF(D13="SUMR",(15.65*E13/4.33333),IF(D13="PT",(0),0)))))</f>
        <v>0</v>
      </c>
      <c r="G13" s="69">
        <v>0</v>
      </c>
      <c r="J13" s="183">
        <f t="shared" si="1"/>
        <v>0</v>
      </c>
      <c r="K13" s="152">
        <f>ROUND(J13*'RATES-Fed'!E38,0)</f>
        <v>0</v>
      </c>
      <c r="L13" s="67">
        <f t="shared" si="2"/>
        <v>0</v>
      </c>
      <c r="M13" s="183">
        <f t="shared" si="3"/>
        <v>0</v>
      </c>
      <c r="N13" s="152">
        <f>ROUND(M13*'RATES-Fed'!G38,0)</f>
        <v>0</v>
      </c>
      <c r="O13" s="67">
        <f t="shared" si="0"/>
        <v>0</v>
      </c>
      <c r="P13" s="183">
        <f t="shared" si="4"/>
        <v>0</v>
      </c>
      <c r="Q13" s="152">
        <f>ROUND(P13*'RATES-Fed'!I38,0)</f>
        <v>0</v>
      </c>
      <c r="R13" s="67">
        <f t="shared" si="5"/>
        <v>0</v>
      </c>
      <c r="S13" s="183">
        <f t="shared" si="6"/>
        <v>0</v>
      </c>
      <c r="T13" s="152">
        <f>ROUND(S13*'RATES-Fed'!K38,0)</f>
        <v>0</v>
      </c>
      <c r="U13" s="67">
        <f t="shared" si="7"/>
        <v>0</v>
      </c>
      <c r="V13" s="42">
        <f t="shared" si="8"/>
        <v>0</v>
      </c>
      <c r="W13" s="1"/>
    </row>
    <row r="14" spans="1:22" ht="15.75">
      <c r="A14" s="1"/>
      <c r="B14" s="1"/>
      <c r="C14" s="3"/>
      <c r="D14" s="136" t="str">
        <f>IF(D13="ACAD",("SUMR"),"")</f>
        <v>SUMR</v>
      </c>
      <c r="E14" s="70">
        <v>0</v>
      </c>
      <c r="F14" s="95">
        <f t="shared" si="9"/>
        <v>0</v>
      </c>
      <c r="G14" s="69">
        <f>+G13*0.4375</f>
        <v>0</v>
      </c>
      <c r="J14" s="183">
        <f t="shared" si="1"/>
        <v>0</v>
      </c>
      <c r="K14" s="152">
        <f>ROUND(J14*'RATES-Fed'!E38,0)</f>
        <v>0</v>
      </c>
      <c r="L14" s="67">
        <f t="shared" si="2"/>
        <v>0</v>
      </c>
      <c r="M14" s="183">
        <f t="shared" si="3"/>
        <v>0</v>
      </c>
      <c r="N14" s="152">
        <f>ROUND(M14*'RATES-Fed'!G38,0)</f>
        <v>0</v>
      </c>
      <c r="O14" s="67">
        <f t="shared" si="0"/>
        <v>0</v>
      </c>
      <c r="P14" s="183">
        <f t="shared" si="4"/>
        <v>0</v>
      </c>
      <c r="Q14" s="152">
        <f>ROUND(P14*'RATES-Fed'!I38,0)</f>
        <v>0</v>
      </c>
      <c r="R14" s="67">
        <f t="shared" si="5"/>
        <v>0</v>
      </c>
      <c r="S14" s="183">
        <f t="shared" si="6"/>
        <v>0</v>
      </c>
      <c r="T14" s="152">
        <f>ROUND(S14*'RATES-Fed'!K38,0)</f>
        <v>0</v>
      </c>
      <c r="U14" s="67">
        <f t="shared" si="7"/>
        <v>0</v>
      </c>
      <c r="V14" s="42">
        <f t="shared" si="8"/>
        <v>0</v>
      </c>
    </row>
    <row r="15" spans="1:23" ht="15.75">
      <c r="A15" s="1"/>
      <c r="B15" s="1" t="s">
        <v>15</v>
      </c>
      <c r="C15" s="3"/>
      <c r="D15" s="136" t="s">
        <v>125</v>
      </c>
      <c r="E15" s="70">
        <v>0</v>
      </c>
      <c r="F15" s="95">
        <f t="shared" si="9"/>
        <v>0</v>
      </c>
      <c r="G15" s="69">
        <v>0</v>
      </c>
      <c r="J15" s="183">
        <f t="shared" si="1"/>
        <v>0</v>
      </c>
      <c r="K15" s="152">
        <f>ROUND(J15*'RATES-Fed'!E38,0)</f>
        <v>0</v>
      </c>
      <c r="L15" s="67">
        <f t="shared" si="2"/>
        <v>0</v>
      </c>
      <c r="M15" s="183">
        <f t="shared" si="3"/>
        <v>0</v>
      </c>
      <c r="N15" s="152">
        <f>ROUND(M15*'RATES-Fed'!G38,0)</f>
        <v>0</v>
      </c>
      <c r="O15" s="67">
        <f t="shared" si="0"/>
        <v>0</v>
      </c>
      <c r="P15" s="183">
        <f t="shared" si="4"/>
        <v>0</v>
      </c>
      <c r="Q15" s="152">
        <f>ROUND(P15*'RATES-Fed'!I38,0)</f>
        <v>0</v>
      </c>
      <c r="R15" s="67">
        <f t="shared" si="5"/>
        <v>0</v>
      </c>
      <c r="S15" s="183">
        <f t="shared" si="6"/>
        <v>0</v>
      </c>
      <c r="T15" s="152">
        <f>ROUND(S15*'RATES-Fed'!K38,0)</f>
        <v>0</v>
      </c>
      <c r="U15" s="67">
        <f t="shared" si="7"/>
        <v>0</v>
      </c>
      <c r="V15" s="42">
        <f t="shared" si="8"/>
        <v>0</v>
      </c>
      <c r="W15" s="1"/>
    </row>
    <row r="16" spans="1:22" ht="15.75">
      <c r="A16" s="1"/>
      <c r="B16" s="1"/>
      <c r="C16" s="3"/>
      <c r="D16" s="136" t="str">
        <f>IF(D15="ACAD",("SUMR"),"")</f>
        <v>SUMR</v>
      </c>
      <c r="E16" s="70">
        <v>0</v>
      </c>
      <c r="F16" s="95">
        <f t="shared" si="9"/>
        <v>0</v>
      </c>
      <c r="G16" s="69">
        <f>+G15*0.4375</f>
        <v>0</v>
      </c>
      <c r="J16" s="183">
        <f t="shared" si="1"/>
        <v>0</v>
      </c>
      <c r="K16" s="152">
        <f>ROUND(J16*'RATES-Fed'!E38,0)</f>
        <v>0</v>
      </c>
      <c r="L16" s="67">
        <f t="shared" si="2"/>
        <v>0</v>
      </c>
      <c r="M16" s="183">
        <f t="shared" si="3"/>
        <v>0</v>
      </c>
      <c r="N16" s="152">
        <f>ROUND(M16*'RATES-Fed'!G38,0)</f>
        <v>0</v>
      </c>
      <c r="O16" s="67">
        <f t="shared" si="0"/>
        <v>0</v>
      </c>
      <c r="P16" s="183">
        <f t="shared" si="4"/>
        <v>0</v>
      </c>
      <c r="Q16" s="152">
        <f>ROUND(P16*'RATES-Fed'!I38,0)</f>
        <v>0</v>
      </c>
      <c r="R16" s="67">
        <f t="shared" si="5"/>
        <v>0</v>
      </c>
      <c r="S16" s="183">
        <f t="shared" si="6"/>
        <v>0</v>
      </c>
      <c r="T16" s="152">
        <f>ROUND(S16*'RATES-Fed'!K38,0)</f>
        <v>0</v>
      </c>
      <c r="U16" s="67">
        <f t="shared" si="7"/>
        <v>0</v>
      </c>
      <c r="V16" s="42">
        <f t="shared" si="8"/>
        <v>0</v>
      </c>
    </row>
    <row r="17" spans="1:23" ht="15.75">
      <c r="A17" s="1"/>
      <c r="B17" s="1" t="s">
        <v>15</v>
      </c>
      <c r="C17" s="3"/>
      <c r="D17" s="136" t="s">
        <v>124</v>
      </c>
      <c r="E17" s="70">
        <v>0</v>
      </c>
      <c r="F17" s="95">
        <f t="shared" si="9"/>
        <v>0</v>
      </c>
      <c r="G17" s="69">
        <v>0</v>
      </c>
      <c r="J17" s="183">
        <f t="shared" si="1"/>
        <v>0</v>
      </c>
      <c r="K17" s="152">
        <f>ROUND(J17*'RATES-Fed'!E38,0)</f>
        <v>0</v>
      </c>
      <c r="L17" s="273">
        <f t="shared" si="2"/>
        <v>0</v>
      </c>
      <c r="M17" s="183">
        <f t="shared" si="3"/>
        <v>0</v>
      </c>
      <c r="N17" s="274">
        <f>ROUND(M17*'RATES-Fed'!G38,0)</f>
        <v>0</v>
      </c>
      <c r="O17" s="273">
        <f t="shared" si="0"/>
        <v>0</v>
      </c>
      <c r="P17" s="183">
        <f t="shared" si="4"/>
        <v>0</v>
      </c>
      <c r="Q17" s="274">
        <f>ROUND(P17*'RATES-Fed'!I38,0)</f>
        <v>0</v>
      </c>
      <c r="R17" s="273">
        <f t="shared" si="5"/>
        <v>0</v>
      </c>
      <c r="S17" s="183">
        <f t="shared" si="6"/>
        <v>0</v>
      </c>
      <c r="T17" s="274">
        <f>ROUND(S17*'RATES-Fed'!K38,0)</f>
        <v>0</v>
      </c>
      <c r="U17" s="67">
        <f t="shared" si="7"/>
        <v>0</v>
      </c>
      <c r="V17" s="42">
        <f t="shared" si="8"/>
        <v>0</v>
      </c>
      <c r="W17" s="1"/>
    </row>
    <row r="18" spans="1:22" ht="15.75">
      <c r="A18" s="1"/>
      <c r="B18" s="1" t="s">
        <v>15</v>
      </c>
      <c r="C18" s="3"/>
      <c r="D18" s="136" t="s">
        <v>124</v>
      </c>
      <c r="E18" s="70">
        <v>0</v>
      </c>
      <c r="F18" s="95">
        <f t="shared" si="9"/>
        <v>0</v>
      </c>
      <c r="G18" s="69">
        <v>0</v>
      </c>
      <c r="J18" s="197">
        <f t="shared" si="1"/>
        <v>0</v>
      </c>
      <c r="K18" s="202">
        <f>ROUND(J18*'RATES-Fed'!E38,0)</f>
        <v>0</v>
      </c>
      <c r="L18" s="203">
        <f t="shared" si="2"/>
        <v>0</v>
      </c>
      <c r="M18" s="197">
        <f t="shared" si="3"/>
        <v>0</v>
      </c>
      <c r="N18" s="202">
        <f>ROUND(M18*'RATES-Fed'!G38,0)</f>
        <v>0</v>
      </c>
      <c r="O18" s="203">
        <f t="shared" si="0"/>
        <v>0</v>
      </c>
      <c r="P18" s="197">
        <f t="shared" si="4"/>
        <v>0</v>
      </c>
      <c r="Q18" s="202">
        <f>ROUND(P18*'RATES-Fed'!I38,0)</f>
        <v>0</v>
      </c>
      <c r="R18" s="203">
        <f t="shared" si="5"/>
        <v>0</v>
      </c>
      <c r="S18" s="197">
        <f t="shared" si="6"/>
        <v>0</v>
      </c>
      <c r="T18" s="202">
        <f>ROUND(S18*'RATES-Fed'!K38,0)</f>
        <v>0</v>
      </c>
      <c r="U18" s="203">
        <f t="shared" si="7"/>
        <v>0</v>
      </c>
      <c r="V18" s="200">
        <f t="shared" si="8"/>
        <v>0</v>
      </c>
    </row>
    <row r="19" spans="1:23" ht="15.75">
      <c r="A19" s="1"/>
      <c r="B19" s="1"/>
      <c r="C19" s="1"/>
      <c r="D19" s="25" t="s">
        <v>16</v>
      </c>
      <c r="E19" s="26"/>
      <c r="F19" s="26"/>
      <c r="G19" s="1"/>
      <c r="H19" s="1"/>
      <c r="I19" s="1"/>
      <c r="J19" s="201">
        <f aca="true" t="shared" si="10" ref="J19:V19">SUM(J11:J18)</f>
        <v>0</v>
      </c>
      <c r="K19" s="153">
        <f t="shared" si="10"/>
        <v>0</v>
      </c>
      <c r="L19" s="46">
        <f t="shared" si="10"/>
        <v>0</v>
      </c>
      <c r="M19" s="201">
        <f t="shared" si="10"/>
        <v>0</v>
      </c>
      <c r="N19" s="153">
        <f t="shared" si="10"/>
        <v>0</v>
      </c>
      <c r="O19" s="46">
        <f t="shared" si="10"/>
        <v>0</v>
      </c>
      <c r="P19" s="201">
        <f t="shared" si="10"/>
        <v>0</v>
      </c>
      <c r="Q19" s="153">
        <f t="shared" si="10"/>
        <v>0</v>
      </c>
      <c r="R19" s="46">
        <f t="shared" si="10"/>
        <v>0</v>
      </c>
      <c r="S19" s="201">
        <f t="shared" si="10"/>
        <v>0</v>
      </c>
      <c r="T19" s="153">
        <f t="shared" si="10"/>
        <v>0</v>
      </c>
      <c r="U19" s="46">
        <f t="shared" si="10"/>
        <v>0</v>
      </c>
      <c r="V19" s="42">
        <f t="shared" si="10"/>
        <v>0</v>
      </c>
      <c r="W19" s="6"/>
    </row>
    <row r="20" spans="1:21" ht="15.75">
      <c r="A20" s="21" t="s">
        <v>219</v>
      </c>
      <c r="B20" s="21" t="s">
        <v>220</v>
      </c>
      <c r="C20" s="1"/>
      <c r="D20" s="25"/>
      <c r="E20" s="26"/>
      <c r="F20" s="26"/>
      <c r="G20" s="1"/>
      <c r="H20" s="1"/>
      <c r="I20" s="1"/>
      <c r="J20" s="201"/>
      <c r="K20" s="153"/>
      <c r="L20" s="46"/>
      <c r="M20" s="42"/>
      <c r="N20" s="6"/>
      <c r="O20"/>
      <c r="Q20"/>
      <c r="R20"/>
      <c r="T20"/>
      <c r="U20"/>
    </row>
    <row r="21" spans="1:22" ht="15.75">
      <c r="A21" s="1"/>
      <c r="B21" s="1" t="s">
        <v>15</v>
      </c>
      <c r="C21" s="3"/>
      <c r="D21" s="136" t="s">
        <v>124</v>
      </c>
      <c r="E21" s="70">
        <v>0</v>
      </c>
      <c r="F21" s="95">
        <f>IF(D21="CAL",(52*E21/4.3333),(IF(D21="ACAD",(32*E21/4.33333),IF(D21="SUMR",(14*E21/4.33333),IF(D21="PT",(0),0)))))</f>
        <v>0</v>
      </c>
      <c r="G21" s="69">
        <v>0</v>
      </c>
      <c r="J21" s="183">
        <f>ROUND(G21*E21,0)</f>
        <v>0</v>
      </c>
      <c r="K21" s="152">
        <f>ROUND(J21*'RATES-Fed'!E40,0)</f>
        <v>0</v>
      </c>
      <c r="L21" s="67">
        <f>ROUND(K21+J21,0)</f>
        <v>0</v>
      </c>
      <c r="M21" s="183">
        <f>ROUND((J21*1.02),0)</f>
        <v>0</v>
      </c>
      <c r="N21" s="152">
        <f>ROUND(M21*'RATES-Fed'!G40,0)</f>
        <v>0</v>
      </c>
      <c r="O21" s="67">
        <f>ROUND(M21+N21,0)</f>
        <v>0</v>
      </c>
      <c r="P21" s="183">
        <f>ROUND((M21*1.02),0)</f>
        <v>0</v>
      </c>
      <c r="Q21" s="152">
        <f>ROUND(P21*'RATES-Fed'!I40,0)</f>
        <v>0</v>
      </c>
      <c r="R21" s="67">
        <f>ROUND(P21+Q21,0)</f>
        <v>0</v>
      </c>
      <c r="S21" s="183">
        <f>ROUND((P21*1.02),0)</f>
        <v>0</v>
      </c>
      <c r="T21" s="152">
        <f>ROUND(S21*'RATES-Fed'!K40,0)</f>
        <v>0</v>
      </c>
      <c r="U21" s="76">
        <f>SUM(S21:T21)</f>
        <v>0</v>
      </c>
      <c r="V21" s="42">
        <f>SUM(L21+O21+R21+U21)</f>
        <v>0</v>
      </c>
    </row>
    <row r="22" spans="1:22" ht="15.75">
      <c r="A22" s="1"/>
      <c r="B22" s="1" t="s">
        <v>15</v>
      </c>
      <c r="C22" s="3"/>
      <c r="D22" s="136" t="s">
        <v>124</v>
      </c>
      <c r="E22" s="70">
        <v>0</v>
      </c>
      <c r="F22" s="95">
        <f>IF(D22="CAL",(52*E22/4.3333),(IF(D22="ACAD",(32*E22/4.33333),IF(D22="SUMR",(14*E22/4.33333),IF(D22="PT",(0),0)))))</f>
        <v>0</v>
      </c>
      <c r="G22" s="69">
        <v>0</v>
      </c>
      <c r="J22" s="183">
        <f>ROUND(G22*E22,0)</f>
        <v>0</v>
      </c>
      <c r="K22" s="152">
        <f>ROUND(J22*'RATES-Fed'!E40,0)</f>
        <v>0</v>
      </c>
      <c r="L22" s="67">
        <f>ROUND(K22+J22,0)</f>
        <v>0</v>
      </c>
      <c r="M22" s="183">
        <f>ROUND((J22*1.02),0)</f>
        <v>0</v>
      </c>
      <c r="N22" s="152">
        <f>ROUND(M22*'RATES-Fed'!G40,0)</f>
        <v>0</v>
      </c>
      <c r="O22" s="67">
        <f>ROUND(M22+N22,0)</f>
        <v>0</v>
      </c>
      <c r="P22" s="183">
        <f>ROUND((M22*1.02),0)</f>
        <v>0</v>
      </c>
      <c r="Q22" s="152">
        <f>ROUND(P22*'RATES-Fed'!I40,0)</f>
        <v>0</v>
      </c>
      <c r="R22" s="67">
        <f>ROUND(P22+Q22,0)</f>
        <v>0</v>
      </c>
      <c r="S22" s="183">
        <f>ROUND((P22*1.02),0)</f>
        <v>0</v>
      </c>
      <c r="T22" s="152">
        <f>ROUND(S22*'RATES-Fed'!K40,0)</f>
        <v>0</v>
      </c>
      <c r="U22" s="76">
        <f>SUM(S22:T22)</f>
        <v>0</v>
      </c>
      <c r="V22" s="42">
        <f>SUM(L22+O22+R22+U22)</f>
        <v>0</v>
      </c>
    </row>
    <row r="23" spans="1:22" ht="15.75">
      <c r="A23" s="1"/>
      <c r="B23" s="1" t="s">
        <v>15</v>
      </c>
      <c r="C23" s="3"/>
      <c r="D23" s="136" t="s">
        <v>124</v>
      </c>
      <c r="E23" s="70">
        <v>0</v>
      </c>
      <c r="F23" s="95">
        <f>IF(D23="CAL",(52*E23/4.3333),(IF(D23="ACAD",(32*E23/4.33333),IF(D23="SUMR",(14*E23/4.33333),IF(D23="PT",(0),0)))))</f>
        <v>0</v>
      </c>
      <c r="G23" s="69">
        <v>0</v>
      </c>
      <c r="J23" s="183">
        <f>ROUND(G23*E23,0)</f>
        <v>0</v>
      </c>
      <c r="K23" s="152">
        <f>ROUND(J23*'RATES-Fed'!E40,0)</f>
        <v>0</v>
      </c>
      <c r="L23" s="67">
        <f>ROUND(K23+J23,0)</f>
        <v>0</v>
      </c>
      <c r="M23" s="183">
        <f>ROUND((J23*1.02),0)</f>
        <v>0</v>
      </c>
      <c r="N23" s="152">
        <f>ROUND(M23*'RATES-Fed'!G40,0)</f>
        <v>0</v>
      </c>
      <c r="O23" s="67">
        <f>ROUND(M23+N23,0)</f>
        <v>0</v>
      </c>
      <c r="P23" s="183">
        <f>ROUND((M23*1.02),0)</f>
        <v>0</v>
      </c>
      <c r="Q23" s="152">
        <f>ROUND(P23*'RATES-Fed'!I40,0)</f>
        <v>0</v>
      </c>
      <c r="R23" s="67">
        <f>ROUND(P23+Q23,0)</f>
        <v>0</v>
      </c>
      <c r="S23" s="183">
        <f>ROUND((P23*1.02),0)</f>
        <v>0</v>
      </c>
      <c r="T23" s="152">
        <f>ROUND(S23*'RATES-Fed'!K40,0)</f>
        <v>0</v>
      </c>
      <c r="U23" s="76">
        <f>SUM(S23:T23)</f>
        <v>0</v>
      </c>
      <c r="V23" s="42">
        <f>SUM(L23+O23+R23+U23)</f>
        <v>0</v>
      </c>
    </row>
    <row r="24" spans="1:22" ht="15.75">
      <c r="A24" s="1"/>
      <c r="B24" s="1" t="s">
        <v>15</v>
      </c>
      <c r="C24" s="3"/>
      <c r="D24" s="136" t="s">
        <v>124</v>
      </c>
      <c r="E24" s="70">
        <v>0</v>
      </c>
      <c r="F24" s="95">
        <f>IF(D24="CAL",(52*E24/4.3333),(IF(D24="ACAD",(32*E24/4.33333),IF(D24="SUMR",(14*E24/4.33333),IF(D24="PT",(0),0)))))</f>
        <v>0</v>
      </c>
      <c r="G24" s="69">
        <v>0</v>
      </c>
      <c r="J24" s="183">
        <f>ROUND(G24*E24,0)</f>
        <v>0</v>
      </c>
      <c r="K24" s="202">
        <f>ROUND(J24*'RATES-Fed'!E40,0)</f>
        <v>0</v>
      </c>
      <c r="L24" s="203">
        <f>ROUND(K24+J24,0)</f>
        <v>0</v>
      </c>
      <c r="M24" s="197">
        <f>ROUND((J24*1.02),0)</f>
        <v>0</v>
      </c>
      <c r="N24" s="202">
        <f>ROUND(M24*'RATES-Fed'!G40,0)</f>
        <v>0</v>
      </c>
      <c r="O24" s="203">
        <f>ROUND(M24+N24,0)</f>
        <v>0</v>
      </c>
      <c r="P24" s="197">
        <f>ROUND((M24*1.02),0)</f>
        <v>0</v>
      </c>
      <c r="Q24" s="202">
        <f>ROUND(P24*'RATES-Fed'!I40,0)</f>
        <v>0</v>
      </c>
      <c r="R24" s="203">
        <f>ROUND(P24+Q24,0)</f>
        <v>0</v>
      </c>
      <c r="S24" s="197">
        <f>ROUND((P24*1.02),0)</f>
        <v>0</v>
      </c>
      <c r="T24" s="202">
        <f>ROUND(S24*'RATES-Fed'!K40,0)</f>
        <v>0</v>
      </c>
      <c r="U24" s="275">
        <f>SUM(S24:T24)</f>
        <v>0</v>
      </c>
      <c r="V24" s="200">
        <f>SUM(L24+O24+R24+U24)</f>
        <v>0</v>
      </c>
    </row>
    <row r="25" spans="1:22" ht="15.75">
      <c r="A25" s="1"/>
      <c r="B25" s="1"/>
      <c r="C25" s="1"/>
      <c r="D25" s="25" t="s">
        <v>224</v>
      </c>
      <c r="E25" s="26"/>
      <c r="F25" s="26"/>
      <c r="G25" s="1"/>
      <c r="H25" s="1"/>
      <c r="I25" s="1"/>
      <c r="J25" s="187">
        <f aca="true" t="shared" si="11" ref="J25:T25">SUM(J21:J24)</f>
        <v>0</v>
      </c>
      <c r="K25" s="153">
        <f t="shared" si="11"/>
        <v>0</v>
      </c>
      <c r="L25" s="46">
        <f t="shared" si="11"/>
        <v>0</v>
      </c>
      <c r="M25" s="76">
        <f t="shared" si="11"/>
        <v>0</v>
      </c>
      <c r="N25" s="6">
        <f t="shared" si="11"/>
        <v>0</v>
      </c>
      <c r="O25" s="76">
        <f t="shared" si="11"/>
        <v>0</v>
      </c>
      <c r="P25" s="42">
        <f t="shared" si="11"/>
        <v>0</v>
      </c>
      <c r="Q25" s="42">
        <f t="shared" si="11"/>
        <v>0</v>
      </c>
      <c r="R25" s="76">
        <f t="shared" si="11"/>
        <v>0</v>
      </c>
      <c r="S25" s="42">
        <f t="shared" si="11"/>
        <v>0</v>
      </c>
      <c r="T25" s="42">
        <f t="shared" si="11"/>
        <v>0</v>
      </c>
      <c r="U25"/>
      <c r="V25" s="42">
        <f>SUM(V21:V24)</f>
        <v>0</v>
      </c>
    </row>
    <row r="26" spans="1:22" ht="7.5" customHeight="1">
      <c r="A26" s="1"/>
      <c r="B26" s="1"/>
      <c r="C26" s="1"/>
      <c r="D26" s="26"/>
      <c r="E26" s="26"/>
      <c r="F26" s="26"/>
      <c r="G26" s="1"/>
      <c r="H26" s="1"/>
      <c r="I26" s="1"/>
      <c r="J26" s="188"/>
      <c r="K26" s="153"/>
      <c r="L26" s="46"/>
      <c r="M26" s="182"/>
      <c r="N26" s="153"/>
      <c r="O26" s="46"/>
      <c r="P26" s="182"/>
      <c r="Q26" s="153"/>
      <c r="R26" s="46"/>
      <c r="T26" s="6"/>
      <c r="U26"/>
      <c r="V26" s="42"/>
    </row>
    <row r="27" spans="1:22" ht="15.75">
      <c r="A27" s="22" t="s">
        <v>221</v>
      </c>
      <c r="B27" s="22" t="s">
        <v>17</v>
      </c>
      <c r="C27" s="1"/>
      <c r="D27" s="26"/>
      <c r="E27" s="1"/>
      <c r="F27" s="1"/>
      <c r="G27" s="41"/>
      <c r="H27" s="1"/>
      <c r="I27" s="1"/>
      <c r="J27" s="186"/>
      <c r="K27" s="149"/>
      <c r="L27" s="139"/>
      <c r="M27" s="186"/>
      <c r="N27" s="153"/>
      <c r="O27" s="46"/>
      <c r="P27" s="186"/>
      <c r="Q27" s="153"/>
      <c r="R27" s="46"/>
      <c r="T27" s="6"/>
      <c r="U27"/>
      <c r="V27" s="42"/>
    </row>
    <row r="28" spans="1:22" ht="15.75">
      <c r="A28" s="1"/>
      <c r="C28" s="13" t="s">
        <v>87</v>
      </c>
      <c r="D28" s="41" t="s">
        <v>121</v>
      </c>
      <c r="E28" s="68"/>
      <c r="F28" s="68"/>
      <c r="G28" s="59"/>
      <c r="J28" s="183"/>
      <c r="K28" s="263"/>
      <c r="L28" s="50"/>
      <c r="M28" s="183"/>
      <c r="N28" s="264"/>
      <c r="O28" s="144"/>
      <c r="P28" s="183"/>
      <c r="Q28" s="264"/>
      <c r="R28" s="144"/>
      <c r="T28" s="5"/>
      <c r="U28"/>
      <c r="V28" s="42"/>
    </row>
    <row r="29" spans="1:22" ht="15.75">
      <c r="A29" s="1"/>
      <c r="C29" s="13"/>
      <c r="D29" s="93"/>
      <c r="E29" s="70">
        <v>0</v>
      </c>
      <c r="F29" s="94">
        <f>SUM(52*E29/4.3333)</f>
        <v>0</v>
      </c>
      <c r="G29" s="69">
        <v>0</v>
      </c>
      <c r="J29" s="183">
        <f>ROUND(G29*E29,0)</f>
        <v>0</v>
      </c>
      <c r="K29" s="263">
        <f>ROUND(J29*'RATES-Fed'!E39,0)</f>
        <v>0</v>
      </c>
      <c r="L29" s="50">
        <f>SUM(J29:K29)</f>
        <v>0</v>
      </c>
      <c r="M29" s="183">
        <f>ROUND(J29*1.02,0)</f>
        <v>0</v>
      </c>
      <c r="N29" s="263">
        <f>ROUND(M29*'RATES-Fed'!G39,0)</f>
        <v>0</v>
      </c>
      <c r="O29" s="50">
        <f>SUM(M29:N29)</f>
        <v>0</v>
      </c>
      <c r="P29" s="183">
        <f>ROUND(M29*1.02,0)</f>
        <v>0</v>
      </c>
      <c r="Q29" s="263">
        <f>ROUND(P29*'RATES-Fed'!I39,0)</f>
        <v>0</v>
      </c>
      <c r="R29" s="50">
        <f>SUM(P29:Q29)</f>
        <v>0</v>
      </c>
      <c r="S29" s="183">
        <f>ROUND(P29*1.02,0)</f>
        <v>0</v>
      </c>
      <c r="T29" s="263">
        <f>ROUND(S29*'RATES-Fed'!K39,0)</f>
        <v>0</v>
      </c>
      <c r="U29" s="50">
        <f>SUM(S29:T29)</f>
        <v>0</v>
      </c>
      <c r="V29" s="42">
        <f>SUM(L29+O29+R29+U29)</f>
        <v>0</v>
      </c>
    </row>
    <row r="30" spans="1:22" ht="15.75">
      <c r="A30" s="1"/>
      <c r="C30" s="13"/>
      <c r="D30" s="1"/>
      <c r="E30" s="70">
        <v>0</v>
      </c>
      <c r="F30" s="94">
        <f>SUM(52*E30/4.3333)</f>
        <v>0</v>
      </c>
      <c r="G30" s="69">
        <v>0</v>
      </c>
      <c r="J30" s="183">
        <f>ROUND(G30*E30,0)</f>
        <v>0</v>
      </c>
      <c r="K30" s="263">
        <f>ROUND(J30*'RATES-Fed'!E39,0)</f>
        <v>0</v>
      </c>
      <c r="L30" s="50">
        <f>SUM(J30:K30)</f>
        <v>0</v>
      </c>
      <c r="M30" s="183">
        <f>ROUND(J30*1.02,0)</f>
        <v>0</v>
      </c>
      <c r="N30" s="263">
        <f>ROUND(M30*'RATES-Fed'!G39,0)</f>
        <v>0</v>
      </c>
      <c r="O30" s="50">
        <f>SUM(M30:N30)</f>
        <v>0</v>
      </c>
      <c r="P30" s="183">
        <f>ROUND(M30*1.02,0)</f>
        <v>0</v>
      </c>
      <c r="Q30" s="263">
        <f>ROUND(P30*'RATES-Fed'!I39,0)</f>
        <v>0</v>
      </c>
      <c r="R30" s="50">
        <f>SUM(P30:Q30)</f>
        <v>0</v>
      </c>
      <c r="S30" s="183">
        <f>ROUND(P30*1.02,0)</f>
        <v>0</v>
      </c>
      <c r="T30" s="263">
        <f>ROUND(S30*'RATES-Fed'!K39,0)</f>
        <v>0</v>
      </c>
      <c r="U30" s="50">
        <f>SUM(S30:T30)</f>
        <v>0</v>
      </c>
      <c r="V30" s="42">
        <f>SUM(L30+O30+R30+U30)</f>
        <v>0</v>
      </c>
    </row>
    <row r="31" spans="1:22" ht="15.75">
      <c r="A31" s="1"/>
      <c r="C31" s="13"/>
      <c r="D31" s="1"/>
      <c r="E31" s="70">
        <v>0</v>
      </c>
      <c r="F31" s="94">
        <f>SUM(52*E31/4.3333)</f>
        <v>0</v>
      </c>
      <c r="G31" s="69">
        <v>0</v>
      </c>
      <c r="J31" s="197">
        <f>ROUND(G31*E31,0)</f>
        <v>0</v>
      </c>
      <c r="K31" s="198">
        <f>ROUND(J31*'RATES-Fed'!E39,0)</f>
        <v>0</v>
      </c>
      <c r="L31" s="199">
        <f>SUM(J31:K31)</f>
        <v>0</v>
      </c>
      <c r="M31" s="197">
        <f>ROUND(J31*1.02,0)</f>
        <v>0</v>
      </c>
      <c r="N31" s="198">
        <f>ROUND(M31*'RATES-Fed'!G39,0)</f>
        <v>0</v>
      </c>
      <c r="O31" s="199">
        <f>SUM(M31:N31)</f>
        <v>0</v>
      </c>
      <c r="P31" s="197">
        <f>ROUND(M31*1.02,0)</f>
        <v>0</v>
      </c>
      <c r="Q31" s="198">
        <f>ROUND(P31*'RATES-Fed'!I39,0)</f>
        <v>0</v>
      </c>
      <c r="R31" s="199">
        <f>SUM(P31:Q31)</f>
        <v>0</v>
      </c>
      <c r="S31" s="197">
        <f>ROUND(P31*1.02,0)</f>
        <v>0</v>
      </c>
      <c r="T31" s="198">
        <f>ROUND(S31*'RATES-Fed'!K39,0)</f>
        <v>0</v>
      </c>
      <c r="U31" s="199">
        <f>SUM(S31:T31)</f>
        <v>0</v>
      </c>
      <c r="V31" s="200">
        <f>SUM(L31+O31+R31+U31)</f>
        <v>0</v>
      </c>
    </row>
    <row r="32" spans="1:22" ht="15.75">
      <c r="A32" s="1"/>
      <c r="C32" s="13"/>
      <c r="D32" s="1" t="s">
        <v>122</v>
      </c>
      <c r="E32" s="70"/>
      <c r="F32" s="70"/>
      <c r="G32" s="69"/>
      <c r="J32" s="189">
        <f aca="true" t="shared" si="12" ref="J32:R32">SUM(J29:J31)</f>
        <v>0</v>
      </c>
      <c r="K32" s="263">
        <f t="shared" si="12"/>
        <v>0</v>
      </c>
      <c r="L32" s="50">
        <f t="shared" si="12"/>
        <v>0</v>
      </c>
      <c r="M32" s="189">
        <f t="shared" si="12"/>
        <v>0</v>
      </c>
      <c r="N32" s="264">
        <f t="shared" si="12"/>
        <v>0</v>
      </c>
      <c r="O32" s="144">
        <f t="shared" si="12"/>
        <v>0</v>
      </c>
      <c r="P32" s="189">
        <f t="shared" si="12"/>
        <v>0</v>
      </c>
      <c r="Q32" s="264">
        <f t="shared" si="12"/>
        <v>0</v>
      </c>
      <c r="R32" s="144">
        <f t="shared" si="12"/>
        <v>0</v>
      </c>
      <c r="S32" s="189">
        <f>SUM(S29:S31)</f>
        <v>0</v>
      </c>
      <c r="T32" s="264">
        <f>SUM(T29:T31)</f>
        <v>0</v>
      </c>
      <c r="U32" s="144">
        <f>SUM(U29:U31)</f>
        <v>0</v>
      </c>
      <c r="V32" s="42">
        <f>SUM(V29:V31)</f>
        <v>0</v>
      </c>
    </row>
    <row r="33" spans="1:22" ht="9.75" customHeight="1">
      <c r="A33" s="1"/>
      <c r="C33" s="13"/>
      <c r="D33" s="1"/>
      <c r="E33" s="70"/>
      <c r="F33" s="70"/>
      <c r="G33" s="69"/>
      <c r="J33" s="189"/>
      <c r="K33" s="263"/>
      <c r="L33" s="50"/>
      <c r="M33" s="189"/>
      <c r="N33" s="264"/>
      <c r="O33" s="144"/>
      <c r="P33" s="189"/>
      <c r="Q33" s="264"/>
      <c r="R33" s="144"/>
      <c r="T33" s="5"/>
      <c r="U33"/>
      <c r="V33" s="42"/>
    </row>
    <row r="34" spans="1:22" ht="15.75">
      <c r="A34" s="1"/>
      <c r="C34" s="13" t="s">
        <v>88</v>
      </c>
      <c r="D34" s="1"/>
      <c r="E34" s="70">
        <v>0</v>
      </c>
      <c r="F34" s="94">
        <f>SUM(52*E34/4.3333)</f>
        <v>0</v>
      </c>
      <c r="G34" s="69">
        <v>0</v>
      </c>
      <c r="J34" s="183">
        <f>ROUND(G34*E34,0)</f>
        <v>0</v>
      </c>
      <c r="K34" s="263">
        <f>ROUND(J34*'RATES-Fed'!E43,0)</f>
        <v>0</v>
      </c>
      <c r="L34" s="50">
        <f>SUM(J34:K34)</f>
        <v>0</v>
      </c>
      <c r="M34" s="183">
        <f>ROUND((J34*1.02),0)</f>
        <v>0</v>
      </c>
      <c r="N34" s="263">
        <f>ROUND(M34*'RATES-Fed'!G43,0)</f>
        <v>0</v>
      </c>
      <c r="O34" s="50">
        <f>SUM(M34:N34)</f>
        <v>0</v>
      </c>
      <c r="P34" s="183">
        <f>ROUND((M34*1.02),0)</f>
        <v>0</v>
      </c>
      <c r="Q34" s="263">
        <f>ROUND(P34*'RATES-Fed'!I43,0)</f>
        <v>0</v>
      </c>
      <c r="R34" s="50">
        <f>SUM(P34:Q34)</f>
        <v>0</v>
      </c>
      <c r="S34" s="183">
        <f>ROUND((P34*1.02),0)</f>
        <v>0</v>
      </c>
      <c r="T34" s="263">
        <f>ROUND(S34*'RATES-Fed'!K43,0)</f>
        <v>0</v>
      </c>
      <c r="U34" s="50">
        <f>SUM(S34:T34)</f>
        <v>0</v>
      </c>
      <c r="V34" s="42">
        <f>SUM(L34+O34+R34+U34)</f>
        <v>0</v>
      </c>
    </row>
    <row r="35" spans="1:22" ht="15.75">
      <c r="A35" s="1"/>
      <c r="C35" s="13" t="s">
        <v>18</v>
      </c>
      <c r="D35" s="1"/>
      <c r="E35" s="70">
        <v>0</v>
      </c>
      <c r="F35" s="94">
        <f>SUM(52*E35/4.3333)</f>
        <v>0</v>
      </c>
      <c r="G35" s="69">
        <v>0</v>
      </c>
      <c r="J35" s="183">
        <f>ROUND(G35*E35,0)</f>
        <v>0</v>
      </c>
      <c r="K35" s="263">
        <f>ROUND(J35*'RATES-Fed'!E42,0)</f>
        <v>0</v>
      </c>
      <c r="L35" s="50">
        <f>SUM(J35:K35)</f>
        <v>0</v>
      </c>
      <c r="M35" s="183">
        <f>ROUND((J35*1.02),0)</f>
        <v>0</v>
      </c>
      <c r="N35" s="263">
        <f>ROUND(M35*'RATES-Fed'!G42,0)</f>
        <v>0</v>
      </c>
      <c r="O35" s="50">
        <f>SUM(M35:N35)</f>
        <v>0</v>
      </c>
      <c r="P35" s="183">
        <f>ROUND((M35*1.02),0)</f>
        <v>0</v>
      </c>
      <c r="Q35" s="263">
        <f>ROUND(P35*'RATES-Fed'!I42,0)</f>
        <v>0</v>
      </c>
      <c r="R35" s="50">
        <f>SUM(P35:Q35)</f>
        <v>0</v>
      </c>
      <c r="S35" s="183">
        <f>ROUND((P35*1.02),0)</f>
        <v>0</v>
      </c>
      <c r="T35" s="263">
        <f>ROUND(S35*'RATES-Fed'!K42,0)</f>
        <v>0</v>
      </c>
      <c r="U35" s="50">
        <f>SUM(S35:T35)</f>
        <v>0</v>
      </c>
      <c r="V35" s="42">
        <f>SUM(L35+O35+R35+U35)</f>
        <v>0</v>
      </c>
    </row>
    <row r="36" spans="1:22" ht="15.75">
      <c r="A36" s="1"/>
      <c r="C36" s="13" t="s">
        <v>19</v>
      </c>
      <c r="D36" s="1"/>
      <c r="E36" s="70">
        <v>0</v>
      </c>
      <c r="F36" s="94">
        <f>SUM(52*E36/4.3333)</f>
        <v>0</v>
      </c>
      <c r="G36" s="69">
        <v>0</v>
      </c>
      <c r="J36" s="183">
        <f>ROUND(G36*E36,0)</f>
        <v>0</v>
      </c>
      <c r="K36" s="263">
        <f>ROUND(J36*'RATES-Fed'!E42,0)</f>
        <v>0</v>
      </c>
      <c r="L36" s="50">
        <f>SUM(J36:K36)</f>
        <v>0</v>
      </c>
      <c r="M36" s="183">
        <f>ROUND((J36*1.02),0)</f>
        <v>0</v>
      </c>
      <c r="N36" s="263">
        <f>ROUND(M36*'RATES-Fed'!G42,0)</f>
        <v>0</v>
      </c>
      <c r="O36" s="50">
        <f>SUM(M36:N36)</f>
        <v>0</v>
      </c>
      <c r="P36" s="183">
        <f>ROUND((M36*1.02),0)</f>
        <v>0</v>
      </c>
      <c r="Q36" s="263">
        <f>ROUND(P36*'RATES-Fed'!I42,0)</f>
        <v>0</v>
      </c>
      <c r="R36" s="50">
        <f>SUM(P36:Q36)</f>
        <v>0</v>
      </c>
      <c r="S36" s="183">
        <f>ROUND((P36*1.02),0)</f>
        <v>0</v>
      </c>
      <c r="T36" s="263">
        <f>ROUND(S36*'RATES-Fed'!K42,0)</f>
        <v>0</v>
      </c>
      <c r="U36" s="50">
        <f>SUM(S36:T36)</f>
        <v>0</v>
      </c>
      <c r="V36" s="42">
        <f>SUM(L36+O36+R36+U36)</f>
        <v>0</v>
      </c>
    </row>
    <row r="37" spans="1:22" s="90" customFormat="1" ht="15.75">
      <c r="A37" s="139"/>
      <c r="C37" s="138" t="s">
        <v>20</v>
      </c>
      <c r="D37" s="139"/>
      <c r="E37" s="70">
        <v>0</v>
      </c>
      <c r="F37" s="94">
        <f>SUM(52*E37/4.3333)</f>
        <v>0</v>
      </c>
      <c r="G37" s="69">
        <v>0</v>
      </c>
      <c r="J37" s="183">
        <f>ROUND(G37*E37,0)</f>
        <v>0</v>
      </c>
      <c r="K37" s="263">
        <f>ROUND(J37*'RATES-Fed'!E43,0)</f>
        <v>0</v>
      </c>
      <c r="L37" s="50">
        <f>SUM(J37:K37)</f>
        <v>0</v>
      </c>
      <c r="M37" s="183">
        <f>ROUND((J37*1.02),0)</f>
        <v>0</v>
      </c>
      <c r="N37" s="263">
        <f>ROUND(M37*'RATES-Fed'!G43,0)</f>
        <v>0</v>
      </c>
      <c r="O37" s="50">
        <f>SUM(M37:N37)</f>
        <v>0</v>
      </c>
      <c r="P37" s="183">
        <f>ROUND((M37*1.02),0)</f>
        <v>0</v>
      </c>
      <c r="Q37" s="263">
        <f>ROUND(P37*'RATES-Fed'!I43,0)</f>
        <v>0</v>
      </c>
      <c r="R37" s="50">
        <f>SUM(P37:Q37)</f>
        <v>0</v>
      </c>
      <c r="S37" s="183">
        <f>ROUND((P37*1.02),0)</f>
        <v>0</v>
      </c>
      <c r="T37" s="263">
        <f>ROUND(S37*'RATES-Fed'!K43,0)</f>
        <v>0</v>
      </c>
      <c r="U37" s="50">
        <f>SUM(S37:T37)</f>
        <v>0</v>
      </c>
      <c r="V37" s="42">
        <f>SUM(L37+O37+R37+U37)</f>
        <v>0</v>
      </c>
    </row>
    <row r="38" spans="1:23" s="90" customFormat="1" ht="15.75">
      <c r="A38" s="139"/>
      <c r="C38" s="138" t="s">
        <v>89</v>
      </c>
      <c r="D38" s="139"/>
      <c r="E38" s="70">
        <v>0</v>
      </c>
      <c r="F38" s="94">
        <f>SUM(52*E38/4.3333)</f>
        <v>0</v>
      </c>
      <c r="G38" s="69">
        <v>0</v>
      </c>
      <c r="J38" s="197">
        <f>ROUND(G38*E38,0)</f>
        <v>0</v>
      </c>
      <c r="K38" s="198">
        <f>ROUND(J38*'RATES-Fed'!E41,0)</f>
        <v>0</v>
      </c>
      <c r="L38" s="199">
        <f>SUM(J38:K38)</f>
        <v>0</v>
      </c>
      <c r="M38" s="197">
        <f>ROUND((J38*1.02),0)</f>
        <v>0</v>
      </c>
      <c r="N38" s="205">
        <f>ROUND(M38*'RATES-Fed'!G41,0)</f>
        <v>0</v>
      </c>
      <c r="O38" s="199">
        <f>SUM(M38:N38)</f>
        <v>0</v>
      </c>
      <c r="P38" s="197">
        <f>ROUND((M38*1.02),0)</f>
        <v>0</v>
      </c>
      <c r="Q38" s="205">
        <f>ROUND(P38*'RATES-Fed'!I41,0)</f>
        <v>0</v>
      </c>
      <c r="R38" s="199">
        <f>SUM(P38:Q38)</f>
        <v>0</v>
      </c>
      <c r="S38" s="197">
        <f>ROUND((P38*1.02),0)</f>
        <v>0</v>
      </c>
      <c r="T38" s="205">
        <f>ROUND(S38*'RATES-Fed'!K41,0)</f>
        <v>0</v>
      </c>
      <c r="U38" s="199">
        <f>SUM(S38:T38)</f>
        <v>0</v>
      </c>
      <c r="V38" s="200">
        <f>SUM(L38+O38+R38+U38)</f>
        <v>0</v>
      </c>
      <c r="W38" s="276"/>
    </row>
    <row r="39" spans="1:22" ht="15.75">
      <c r="A39" s="1"/>
      <c r="B39" s="1"/>
      <c r="C39" s="1"/>
      <c r="D39" s="184" t="s">
        <v>185</v>
      </c>
      <c r="E39" s="26"/>
      <c r="F39" s="26"/>
      <c r="G39" s="1"/>
      <c r="H39" s="1"/>
      <c r="I39" s="1"/>
      <c r="J39" s="204">
        <f aca="true" t="shared" si="13" ref="J39:U39">SUM(J19+J25+J32+J34+J35+J36+J37+J38)</f>
        <v>0</v>
      </c>
      <c r="K39" s="263">
        <f t="shared" si="13"/>
        <v>0</v>
      </c>
      <c r="L39" s="50">
        <f t="shared" si="13"/>
        <v>0</v>
      </c>
      <c r="M39" s="204">
        <f t="shared" si="13"/>
        <v>0</v>
      </c>
      <c r="N39" s="263">
        <f t="shared" si="13"/>
        <v>0</v>
      </c>
      <c r="O39" s="50">
        <f t="shared" si="13"/>
        <v>0</v>
      </c>
      <c r="P39" s="204">
        <f t="shared" si="13"/>
        <v>0</v>
      </c>
      <c r="Q39" s="263">
        <f t="shared" si="13"/>
        <v>0</v>
      </c>
      <c r="R39" s="50">
        <f t="shared" si="13"/>
        <v>0</v>
      </c>
      <c r="S39" s="204">
        <f t="shared" si="13"/>
        <v>0</v>
      </c>
      <c r="T39" s="263">
        <f t="shared" si="13"/>
        <v>0</v>
      </c>
      <c r="U39" s="50">
        <f t="shared" si="13"/>
        <v>0</v>
      </c>
      <c r="V39" s="42">
        <f>SUM(V34:V38)</f>
        <v>0</v>
      </c>
    </row>
    <row r="40" spans="1:23" ht="7.5" customHeight="1">
      <c r="A40" s="1"/>
      <c r="B40" s="1"/>
      <c r="C40" s="1"/>
      <c r="D40" s="26"/>
      <c r="E40" s="26"/>
      <c r="F40" s="26"/>
      <c r="G40" s="26"/>
      <c r="H40" s="26"/>
      <c r="I40" s="26"/>
      <c r="J40" s="52"/>
      <c r="K40" s="153"/>
      <c r="L40" s="172"/>
      <c r="M40" s="64"/>
      <c r="P40" s="64"/>
      <c r="Q40" s="153"/>
      <c r="R40" s="46"/>
      <c r="S40" s="64"/>
      <c r="T40" s="153"/>
      <c r="U40" s="46"/>
      <c r="V40" s="64" t="s">
        <v>1</v>
      </c>
      <c r="W40" s="6"/>
    </row>
    <row r="41" spans="1:23" s="31" customFormat="1" ht="15.75">
      <c r="A41" s="40" t="s">
        <v>23</v>
      </c>
      <c r="B41" s="21"/>
      <c r="D41" s="28"/>
      <c r="E41" s="28"/>
      <c r="F41" s="28"/>
      <c r="G41" s="28"/>
      <c r="H41" s="28"/>
      <c r="I41" s="28"/>
      <c r="J41" s="47">
        <f>SUM(J39+K39)</f>
        <v>0</v>
      </c>
      <c r="K41" s="155"/>
      <c r="L41" s="174"/>
      <c r="M41" s="47">
        <f>SUM(M39+N39)</f>
        <v>0</v>
      </c>
      <c r="N41" s="155"/>
      <c r="O41" s="140"/>
      <c r="P41" s="47">
        <f>SUM(P39+Q39)</f>
        <v>0</v>
      </c>
      <c r="Q41" s="155"/>
      <c r="R41" s="140"/>
      <c r="S41" s="47">
        <f>SUM(S39+T39)</f>
        <v>0</v>
      </c>
      <c r="T41" s="155"/>
      <c r="U41" s="140"/>
      <c r="V41" s="47">
        <f>SUM(J41+M41+P41+S41)</f>
        <v>0</v>
      </c>
      <c r="W41" s="29"/>
    </row>
    <row r="42" spans="1:23" ht="8.25" customHeight="1">
      <c r="A42" s="1"/>
      <c r="B42" s="1"/>
      <c r="C42" s="28"/>
      <c r="D42" s="26"/>
      <c r="E42" s="26"/>
      <c r="F42" s="26"/>
      <c r="G42" s="26"/>
      <c r="H42" s="26"/>
      <c r="I42" s="26"/>
      <c r="J42" s="52"/>
      <c r="K42" s="153"/>
      <c r="L42" s="172"/>
      <c r="M42" s="46"/>
      <c r="N42" s="153"/>
      <c r="O42" s="46"/>
      <c r="P42" s="46"/>
      <c r="Q42" s="153"/>
      <c r="R42" s="46"/>
      <c r="S42" s="46"/>
      <c r="T42" s="153"/>
      <c r="U42" s="46"/>
      <c r="V42" s="46" t="s">
        <v>1</v>
      </c>
      <c r="W42" s="6"/>
    </row>
    <row r="43" spans="1:23" ht="15.75">
      <c r="A43" s="22" t="s">
        <v>24</v>
      </c>
      <c r="B43" s="22" t="s">
        <v>25</v>
      </c>
      <c r="C43" s="21"/>
      <c r="D43" s="26"/>
      <c r="E43" s="26"/>
      <c r="F43" s="26"/>
      <c r="G43" s="26"/>
      <c r="H43" s="26"/>
      <c r="I43" s="26"/>
      <c r="J43" s="52"/>
      <c r="K43" s="153"/>
      <c r="L43" s="172"/>
      <c r="M43" s="50"/>
      <c r="N43" s="153"/>
      <c r="O43" s="46"/>
      <c r="P43" s="50"/>
      <c r="Q43" s="153"/>
      <c r="R43" s="46"/>
      <c r="S43" s="50"/>
      <c r="T43" s="153"/>
      <c r="U43" s="46"/>
      <c r="V43" s="50" t="s">
        <v>1</v>
      </c>
      <c r="W43" s="6"/>
    </row>
    <row r="44" spans="1:23" ht="15.75">
      <c r="A44" s="21"/>
      <c r="B44" s="21"/>
      <c r="C44" s="10" t="s">
        <v>26</v>
      </c>
      <c r="D44" s="30"/>
      <c r="E44" s="30"/>
      <c r="F44" s="30"/>
      <c r="G44" s="30"/>
      <c r="H44" s="30"/>
      <c r="I44" s="30"/>
      <c r="J44" s="42">
        <v>0</v>
      </c>
      <c r="K44" s="153"/>
      <c r="L44" s="172"/>
      <c r="M44" s="42">
        <v>0</v>
      </c>
      <c r="N44" s="154"/>
      <c r="O44" s="50"/>
      <c r="P44" s="42">
        <v>0</v>
      </c>
      <c r="Q44" s="154"/>
      <c r="R44" s="50"/>
      <c r="S44" s="42">
        <v>0</v>
      </c>
      <c r="T44" s="154"/>
      <c r="U44" s="50"/>
      <c r="V44" s="42">
        <f>SUM(J44:U44)</f>
        <v>0</v>
      </c>
      <c r="W44" s="6"/>
    </row>
    <row r="45" spans="1:23" ht="15.75">
      <c r="A45" s="21"/>
      <c r="B45" s="21"/>
      <c r="C45" s="10" t="s">
        <v>26</v>
      </c>
      <c r="D45" s="30"/>
      <c r="E45" s="30"/>
      <c r="F45" s="30"/>
      <c r="G45" s="30"/>
      <c r="H45" s="30"/>
      <c r="I45" s="30"/>
      <c r="J45" s="42">
        <v>0</v>
      </c>
      <c r="K45" s="153"/>
      <c r="L45" s="172"/>
      <c r="M45" s="42">
        <v>0</v>
      </c>
      <c r="N45" s="154"/>
      <c r="O45" s="50"/>
      <c r="P45" s="42">
        <v>0</v>
      </c>
      <c r="Q45" s="154"/>
      <c r="R45" s="50"/>
      <c r="S45" s="42">
        <v>0</v>
      </c>
      <c r="T45" s="154"/>
      <c r="U45" s="50"/>
      <c r="V45" s="42">
        <f>SUM(J45:U45)</f>
        <v>0</v>
      </c>
      <c r="W45" s="6"/>
    </row>
    <row r="46" spans="1:23" ht="15.75">
      <c r="A46" s="21"/>
      <c r="B46" s="21"/>
      <c r="C46" s="27" t="s">
        <v>27</v>
      </c>
      <c r="D46" s="28"/>
      <c r="E46" s="28"/>
      <c r="F46" s="28"/>
      <c r="G46" s="28"/>
      <c r="H46" s="28"/>
      <c r="I46" s="28"/>
      <c r="J46" s="53">
        <f>SUM(J44:J45)</f>
        <v>0</v>
      </c>
      <c r="K46" s="156"/>
      <c r="L46" s="175"/>
      <c r="M46" s="53">
        <f>SUM(M44:M45)</f>
        <v>0</v>
      </c>
      <c r="N46" s="156"/>
      <c r="O46" s="48"/>
      <c r="P46" s="53">
        <f>SUM(P44:P45)</f>
        <v>0</v>
      </c>
      <c r="Q46" s="156"/>
      <c r="R46" s="48"/>
      <c r="S46" s="53">
        <f>SUM(S44:S45)</f>
        <v>0</v>
      </c>
      <c r="T46" s="156"/>
      <c r="U46" s="48"/>
      <c r="V46" s="53">
        <f>SUM(J46:U46)</f>
        <v>0</v>
      </c>
      <c r="W46" s="29"/>
    </row>
    <row r="47" spans="1:23" ht="9" customHeight="1">
      <c r="A47" s="1"/>
      <c r="B47" s="1"/>
      <c r="C47" s="28"/>
      <c r="D47" s="26"/>
      <c r="E47" s="26"/>
      <c r="F47" s="26"/>
      <c r="G47" s="26"/>
      <c r="H47" s="26"/>
      <c r="I47" s="26"/>
      <c r="J47" s="52"/>
      <c r="K47" s="153"/>
      <c r="L47" s="172"/>
      <c r="M47" s="46"/>
      <c r="N47" s="153"/>
      <c r="O47" s="46"/>
      <c r="P47" s="46"/>
      <c r="Q47" s="153"/>
      <c r="R47" s="46"/>
      <c r="S47" s="46"/>
      <c r="T47" s="153"/>
      <c r="U47" s="46"/>
      <c r="V47" s="46"/>
      <c r="W47" s="6"/>
    </row>
    <row r="48" spans="1:23" ht="15.75">
      <c r="A48" s="22" t="s">
        <v>28</v>
      </c>
      <c r="B48" s="22" t="s">
        <v>29</v>
      </c>
      <c r="C48" s="1"/>
      <c r="D48" s="21"/>
      <c r="E48" s="21"/>
      <c r="F48" s="21"/>
      <c r="G48" s="1"/>
      <c r="H48" s="1"/>
      <c r="I48" s="1"/>
      <c r="J48" s="54" t="s">
        <v>1</v>
      </c>
      <c r="K48" s="154"/>
      <c r="L48" s="173"/>
      <c r="M48" s="45" t="s">
        <v>1</v>
      </c>
      <c r="N48" s="154"/>
      <c r="O48" s="50"/>
      <c r="P48" s="45" t="s">
        <v>1</v>
      </c>
      <c r="Q48" s="154"/>
      <c r="R48" s="50"/>
      <c r="S48" s="45" t="s">
        <v>1</v>
      </c>
      <c r="T48" s="154"/>
      <c r="U48" s="50"/>
      <c r="V48" s="45"/>
      <c r="W48" s="5"/>
    </row>
    <row r="49" spans="1:23" ht="15.75">
      <c r="A49" s="21"/>
      <c r="B49" s="21"/>
      <c r="C49" s="13" t="s">
        <v>30</v>
      </c>
      <c r="D49" s="10" t="s">
        <v>26</v>
      </c>
      <c r="E49" s="31"/>
      <c r="F49" s="31"/>
      <c r="J49" s="42">
        <v>0</v>
      </c>
      <c r="K49" s="154"/>
      <c r="L49" s="173"/>
      <c r="M49" s="42">
        <f>ROUND((J49*1.02),0)</f>
        <v>0</v>
      </c>
      <c r="N49" s="164"/>
      <c r="O49" s="144"/>
      <c r="P49" s="42">
        <f>ROUND((M49*1.02),0)</f>
        <v>0</v>
      </c>
      <c r="Q49" s="164"/>
      <c r="R49" s="144"/>
      <c r="S49" s="42">
        <f>ROUND((P49*1.02),0)</f>
        <v>0</v>
      </c>
      <c r="T49" s="164"/>
      <c r="U49" s="144"/>
      <c r="V49" s="42">
        <f>SUM(J49:U49)</f>
        <v>0</v>
      </c>
      <c r="W49" s="5"/>
    </row>
    <row r="50" spans="1:23" ht="15.75">
      <c r="A50" s="21"/>
      <c r="B50" s="21"/>
      <c r="C50" s="13" t="s">
        <v>31</v>
      </c>
      <c r="D50" s="10" t="s">
        <v>26</v>
      </c>
      <c r="E50" s="31"/>
      <c r="F50" s="31"/>
      <c r="J50" s="42">
        <v>0</v>
      </c>
      <c r="K50" s="154"/>
      <c r="L50" s="173"/>
      <c r="M50" s="42">
        <f>ROUND((J50*1.02),0)</f>
        <v>0</v>
      </c>
      <c r="N50" s="164"/>
      <c r="O50" s="144"/>
      <c r="P50" s="42">
        <f>ROUND((M50*1.02),0)</f>
        <v>0</v>
      </c>
      <c r="Q50" s="164"/>
      <c r="R50" s="144"/>
      <c r="S50" s="42">
        <f>ROUND((P50*1.02),0)</f>
        <v>0</v>
      </c>
      <c r="T50" s="164"/>
      <c r="U50" s="144"/>
      <c r="V50" s="42">
        <f>SUM(J50:U50)</f>
        <v>0</v>
      </c>
      <c r="W50" s="5"/>
    </row>
    <row r="51" spans="1:23" s="31" customFormat="1" ht="15.75">
      <c r="A51" s="21"/>
      <c r="B51" s="21"/>
      <c r="C51" s="27" t="s">
        <v>32</v>
      </c>
      <c r="D51" s="28"/>
      <c r="E51" s="28"/>
      <c r="F51" s="28"/>
      <c r="G51" s="28"/>
      <c r="H51" s="28"/>
      <c r="I51" s="28"/>
      <c r="J51" s="53">
        <f>SUM(J49:J50)</f>
        <v>0</v>
      </c>
      <c r="K51" s="156"/>
      <c r="L51" s="175"/>
      <c r="M51" s="55">
        <f>SUM(M49:M50)</f>
        <v>0</v>
      </c>
      <c r="N51" s="156"/>
      <c r="O51" s="48"/>
      <c r="P51" s="55">
        <f>SUM(P49:P50)</f>
        <v>0</v>
      </c>
      <c r="Q51" s="156"/>
      <c r="R51" s="48"/>
      <c r="S51" s="55">
        <f>SUM(S49:S50)</f>
        <v>0</v>
      </c>
      <c r="T51" s="156"/>
      <c r="U51" s="48"/>
      <c r="V51" s="55">
        <f>SUM(J51:U51)</f>
        <v>0</v>
      </c>
      <c r="W51" s="29"/>
    </row>
    <row r="52" spans="1:23" s="31" customFormat="1" ht="9.75" customHeight="1">
      <c r="A52" s="21"/>
      <c r="B52" s="21"/>
      <c r="C52" s="27"/>
      <c r="D52" s="28"/>
      <c r="E52" s="28"/>
      <c r="F52" s="28"/>
      <c r="G52" s="28"/>
      <c r="H52" s="28"/>
      <c r="I52" s="28"/>
      <c r="J52" s="61"/>
      <c r="K52" s="156"/>
      <c r="L52" s="175"/>
      <c r="M52" s="280"/>
      <c r="N52" s="156"/>
      <c r="O52" s="48"/>
      <c r="P52" s="280"/>
      <c r="Q52" s="156"/>
      <c r="R52" s="48"/>
      <c r="S52" s="280"/>
      <c r="T52" s="156"/>
      <c r="U52" s="48"/>
      <c r="V52" s="280"/>
      <c r="W52" s="29"/>
    </row>
    <row r="53" spans="1:23" s="31" customFormat="1" ht="15.75">
      <c r="A53" s="21" t="s">
        <v>229</v>
      </c>
      <c r="B53" s="21" t="s">
        <v>230</v>
      </c>
      <c r="C53" s="27"/>
      <c r="D53" s="28"/>
      <c r="E53" s="28"/>
      <c r="F53" s="28"/>
      <c r="G53" s="28"/>
      <c r="H53" s="28"/>
      <c r="I53" s="28"/>
      <c r="J53" s="61"/>
      <c r="K53" s="156"/>
      <c r="L53" s="175"/>
      <c r="M53" s="280"/>
      <c r="N53" s="156"/>
      <c r="O53" s="48"/>
      <c r="P53" s="280"/>
      <c r="Q53" s="156"/>
      <c r="R53" s="48"/>
      <c r="S53" s="280"/>
      <c r="T53" s="156"/>
      <c r="U53" s="48"/>
      <c r="V53" s="280"/>
      <c r="W53" s="29"/>
    </row>
    <row r="54" spans="1:23" s="31" customFormat="1" ht="15.75">
      <c r="A54" s="21"/>
      <c r="B54" s="21"/>
      <c r="C54" s="283" t="s">
        <v>231</v>
      </c>
      <c r="D54" s="28"/>
      <c r="E54" s="28"/>
      <c r="F54" s="28"/>
      <c r="G54" s="28"/>
      <c r="H54" s="28"/>
      <c r="I54" s="28"/>
      <c r="J54" s="61">
        <v>0</v>
      </c>
      <c r="K54" s="156"/>
      <c r="L54" s="175"/>
      <c r="M54" s="280">
        <v>0</v>
      </c>
      <c r="N54" s="156"/>
      <c r="O54" s="48"/>
      <c r="P54" s="280">
        <v>0</v>
      </c>
      <c r="Q54" s="61"/>
      <c r="R54" s="156"/>
      <c r="S54" s="280">
        <v>0</v>
      </c>
      <c r="T54" s="280"/>
      <c r="U54" s="48"/>
      <c r="V54" s="280">
        <f>SUM(J54:U54)</f>
        <v>0</v>
      </c>
      <c r="W54" s="29"/>
    </row>
    <row r="55" spans="1:23" s="31" customFormat="1" ht="15.75">
      <c r="A55" s="21"/>
      <c r="B55" s="21"/>
      <c r="C55" s="283" t="s">
        <v>232</v>
      </c>
      <c r="D55" s="28"/>
      <c r="E55" s="28"/>
      <c r="F55" s="28"/>
      <c r="G55" s="28"/>
      <c r="H55" s="28"/>
      <c r="I55" s="28"/>
      <c r="J55" s="61">
        <v>0</v>
      </c>
      <c r="K55" s="156"/>
      <c r="L55" s="175"/>
      <c r="M55" s="280">
        <v>0</v>
      </c>
      <c r="N55" s="156"/>
      <c r="O55" s="48"/>
      <c r="P55" s="280">
        <v>0</v>
      </c>
      <c r="Q55" s="61"/>
      <c r="R55" s="156"/>
      <c r="S55" s="280">
        <v>0</v>
      </c>
      <c r="T55" s="280"/>
      <c r="U55" s="48"/>
      <c r="V55" s="280">
        <f>SUM(J55:U55)</f>
        <v>0</v>
      </c>
      <c r="W55" s="29"/>
    </row>
    <row r="56" spans="1:23" s="31" customFormat="1" ht="15.75">
      <c r="A56" s="21"/>
      <c r="B56" s="21"/>
      <c r="C56" s="283" t="s">
        <v>233</v>
      </c>
      <c r="D56" s="28"/>
      <c r="E56" s="28"/>
      <c r="F56" s="28"/>
      <c r="G56" s="28"/>
      <c r="H56" s="28"/>
      <c r="I56" s="28"/>
      <c r="J56" s="61">
        <v>0</v>
      </c>
      <c r="K56" s="156"/>
      <c r="L56" s="175"/>
      <c r="M56" s="280">
        <v>0</v>
      </c>
      <c r="N56" s="156"/>
      <c r="O56" s="48"/>
      <c r="P56" s="280">
        <v>0</v>
      </c>
      <c r="Q56" s="61"/>
      <c r="R56" s="156"/>
      <c r="S56" s="280">
        <v>0</v>
      </c>
      <c r="T56" s="280"/>
      <c r="U56" s="48"/>
      <c r="V56" s="280">
        <f>SUM(J56:U56)</f>
        <v>0</v>
      </c>
      <c r="W56" s="29"/>
    </row>
    <row r="57" spans="1:23" s="31" customFormat="1" ht="15.75">
      <c r="A57" s="21"/>
      <c r="B57" s="21"/>
      <c r="C57" s="283" t="s">
        <v>234</v>
      </c>
      <c r="D57" s="28"/>
      <c r="E57" s="28"/>
      <c r="F57" s="28"/>
      <c r="G57" s="28"/>
      <c r="H57" s="28"/>
      <c r="I57" s="28"/>
      <c r="J57" s="281">
        <v>0</v>
      </c>
      <c r="K57" s="156"/>
      <c r="L57" s="175"/>
      <c r="M57" s="282">
        <v>0</v>
      </c>
      <c r="N57" s="156"/>
      <c r="O57" s="48"/>
      <c r="P57" s="282">
        <v>0</v>
      </c>
      <c r="Q57" s="61"/>
      <c r="R57" s="156"/>
      <c r="S57" s="282">
        <v>0</v>
      </c>
      <c r="T57" s="280"/>
      <c r="U57" s="48"/>
      <c r="V57" s="282">
        <f>SUM(J57:U57)</f>
        <v>0</v>
      </c>
      <c r="W57" s="29"/>
    </row>
    <row r="58" spans="1:23" s="31" customFormat="1" ht="15.75">
      <c r="A58" s="1"/>
      <c r="B58" s="1"/>
      <c r="C58" s="27" t="s">
        <v>235</v>
      </c>
      <c r="D58" s="26"/>
      <c r="E58" s="26"/>
      <c r="F58" s="26"/>
      <c r="G58" s="26"/>
      <c r="H58" s="26"/>
      <c r="I58" s="26"/>
      <c r="J58" s="52">
        <f>SUM(J54:J57)</f>
        <v>0</v>
      </c>
      <c r="K58" s="156"/>
      <c r="L58" s="175"/>
      <c r="M58" s="280">
        <f>SUM(M54:M57)</f>
        <v>0</v>
      </c>
      <c r="N58" s="156"/>
      <c r="O58" s="48"/>
      <c r="P58" s="280">
        <f>SUM(P54:P57)</f>
        <v>0</v>
      </c>
      <c r="Q58" s="52"/>
      <c r="R58" s="156"/>
      <c r="S58" s="280">
        <f>SUM(S54:S57)</f>
        <v>0</v>
      </c>
      <c r="T58" s="280"/>
      <c r="U58" s="48"/>
      <c r="V58" s="280">
        <f>SUM(V54:V57)</f>
        <v>0</v>
      </c>
      <c r="W58" s="29"/>
    </row>
    <row r="59" spans="1:23" ht="10.5" customHeight="1">
      <c r="A59" s="1"/>
      <c r="B59" s="1"/>
      <c r="C59" s="28"/>
      <c r="D59" s="26"/>
      <c r="E59" s="26"/>
      <c r="F59" s="26"/>
      <c r="G59" s="26"/>
      <c r="H59" s="26"/>
      <c r="I59" s="26"/>
      <c r="J59" s="52"/>
      <c r="K59" s="153"/>
      <c r="L59" s="172"/>
      <c r="M59" s="42"/>
      <c r="N59" s="153"/>
      <c r="O59" s="46"/>
      <c r="P59" s="42"/>
      <c r="Q59" s="153"/>
      <c r="R59" s="46"/>
      <c r="S59" s="42"/>
      <c r="T59" s="153"/>
      <c r="U59" s="46"/>
      <c r="V59" s="42"/>
      <c r="W59" s="6"/>
    </row>
    <row r="60" spans="1:23" ht="15.75">
      <c r="A60" s="22" t="s">
        <v>33</v>
      </c>
      <c r="B60" s="22" t="s">
        <v>34</v>
      </c>
      <c r="C60" s="21"/>
      <c r="D60" s="21"/>
      <c r="E60" s="21"/>
      <c r="F60" s="21"/>
      <c r="G60" s="1"/>
      <c r="H60" s="1"/>
      <c r="I60" s="1"/>
      <c r="J60" s="54" t="s">
        <v>1</v>
      </c>
      <c r="K60" s="154"/>
      <c r="L60" s="173"/>
      <c r="M60" s="42" t="s">
        <v>1</v>
      </c>
      <c r="N60" s="154"/>
      <c r="O60" s="50"/>
      <c r="P60" s="42" t="s">
        <v>1</v>
      </c>
      <c r="Q60" s="154"/>
      <c r="R60" s="50"/>
      <c r="S60" s="42" t="s">
        <v>1</v>
      </c>
      <c r="T60" s="154"/>
      <c r="U60" s="50"/>
      <c r="V60" s="42"/>
      <c r="W60" s="5"/>
    </row>
    <row r="61" spans="1:23" ht="15.75">
      <c r="A61" s="21"/>
      <c r="B61" s="21"/>
      <c r="C61" s="13" t="s">
        <v>35</v>
      </c>
      <c r="D61" s="3"/>
      <c r="E61" s="31"/>
      <c r="F61" s="31"/>
      <c r="J61" s="42">
        <v>0</v>
      </c>
      <c r="K61" s="154"/>
      <c r="L61" s="173"/>
      <c r="M61" s="42">
        <f>ROUND((J61*1.02),0)</f>
        <v>0</v>
      </c>
      <c r="N61" s="164"/>
      <c r="O61" s="144"/>
      <c r="P61" s="42">
        <f>ROUND((M61*1.02),0)</f>
        <v>0</v>
      </c>
      <c r="Q61" s="164"/>
      <c r="R61" s="144"/>
      <c r="S61" s="42">
        <f>ROUND((P61*1.02),0)</f>
        <v>0</v>
      </c>
      <c r="T61" s="164"/>
      <c r="U61" s="144"/>
      <c r="V61" s="42">
        <f aca="true" t="shared" si="14" ref="V61:V72">SUM(J61:U61)</f>
        <v>0</v>
      </c>
      <c r="W61" s="5"/>
    </row>
    <row r="62" spans="1:23" ht="15.75">
      <c r="A62" s="21"/>
      <c r="B62" s="21"/>
      <c r="C62" s="13" t="s">
        <v>36</v>
      </c>
      <c r="D62" s="3"/>
      <c r="E62" s="31"/>
      <c r="F62" s="31"/>
      <c r="J62" s="42">
        <v>0</v>
      </c>
      <c r="K62" s="154"/>
      <c r="L62" s="173"/>
      <c r="M62" s="42">
        <f aca="true" t="shared" si="15" ref="M62:M67">ROUND((J62*1.02),0)</f>
        <v>0</v>
      </c>
      <c r="N62" s="164"/>
      <c r="O62" s="144"/>
      <c r="P62" s="42">
        <f aca="true" t="shared" si="16" ref="P62:P67">ROUND((M62*1.02),0)</f>
        <v>0</v>
      </c>
      <c r="Q62" s="164"/>
      <c r="R62" s="144"/>
      <c r="S62" s="42">
        <f aca="true" t="shared" si="17" ref="S62:S67">ROUND((P62*1.02),0)</f>
        <v>0</v>
      </c>
      <c r="T62" s="164"/>
      <c r="U62" s="144"/>
      <c r="V62" s="42">
        <f t="shared" si="14"/>
        <v>0</v>
      </c>
      <c r="W62" s="5"/>
    </row>
    <row r="63" spans="1:23" ht="15.75">
      <c r="A63" s="21"/>
      <c r="B63" s="21"/>
      <c r="C63" s="13" t="s">
        <v>37</v>
      </c>
      <c r="D63" s="3"/>
      <c r="E63" s="31"/>
      <c r="F63" s="31"/>
      <c r="J63" s="42">
        <v>0</v>
      </c>
      <c r="K63" s="154"/>
      <c r="L63" s="173"/>
      <c r="M63" s="42">
        <f t="shared" si="15"/>
        <v>0</v>
      </c>
      <c r="N63" s="164"/>
      <c r="O63" s="144"/>
      <c r="P63" s="42">
        <f t="shared" si="16"/>
        <v>0</v>
      </c>
      <c r="Q63" s="165"/>
      <c r="R63" s="42"/>
      <c r="S63" s="42">
        <f t="shared" si="17"/>
        <v>0</v>
      </c>
      <c r="T63" s="165"/>
      <c r="U63" s="42"/>
      <c r="V63" s="42">
        <f t="shared" si="14"/>
        <v>0</v>
      </c>
      <c r="W63" s="5"/>
    </row>
    <row r="64" spans="1:23" ht="15.75">
      <c r="A64" s="21"/>
      <c r="B64" s="21"/>
      <c r="C64" s="13" t="s">
        <v>38</v>
      </c>
      <c r="D64" s="3"/>
      <c r="E64" s="31"/>
      <c r="F64" s="31"/>
      <c r="J64" s="42">
        <v>0</v>
      </c>
      <c r="K64" s="154"/>
      <c r="L64" s="173"/>
      <c r="M64" s="42">
        <f t="shared" si="15"/>
        <v>0</v>
      </c>
      <c r="N64" s="164"/>
      <c r="O64" s="144"/>
      <c r="P64" s="42">
        <f t="shared" si="16"/>
        <v>0</v>
      </c>
      <c r="Q64" s="164"/>
      <c r="R64" s="144"/>
      <c r="S64" s="42">
        <f t="shared" si="17"/>
        <v>0</v>
      </c>
      <c r="T64" s="164"/>
      <c r="U64" s="144"/>
      <c r="V64" s="42">
        <f t="shared" si="14"/>
        <v>0</v>
      </c>
      <c r="W64" s="5"/>
    </row>
    <row r="65" spans="1:23" ht="15.75">
      <c r="A65" s="21"/>
      <c r="B65" s="21"/>
      <c r="C65" s="227" t="s">
        <v>102</v>
      </c>
      <c r="D65" s="3"/>
      <c r="E65" s="31"/>
      <c r="F65" s="31"/>
      <c r="J65" s="42">
        <v>0</v>
      </c>
      <c r="K65" s="154"/>
      <c r="L65" s="173"/>
      <c r="M65" s="42">
        <f t="shared" si="15"/>
        <v>0</v>
      </c>
      <c r="N65" s="164"/>
      <c r="O65" s="144"/>
      <c r="P65" s="42">
        <f t="shared" si="16"/>
        <v>0</v>
      </c>
      <c r="Q65" s="164"/>
      <c r="R65" s="144"/>
      <c r="S65" s="42">
        <f t="shared" si="17"/>
        <v>0</v>
      </c>
      <c r="T65" s="164"/>
      <c r="U65" s="144"/>
      <c r="V65" s="42">
        <f t="shared" si="14"/>
        <v>0</v>
      </c>
      <c r="W65" s="5"/>
    </row>
    <row r="66" spans="1:23" ht="15.75">
      <c r="A66" s="21"/>
      <c r="B66" s="21"/>
      <c r="C66" s="13" t="s">
        <v>236</v>
      </c>
      <c r="D66" s="3"/>
      <c r="E66" s="31"/>
      <c r="F66" s="31"/>
      <c r="J66" s="42">
        <v>0</v>
      </c>
      <c r="K66" s="154"/>
      <c r="L66" s="173"/>
      <c r="M66" s="42">
        <f t="shared" si="15"/>
        <v>0</v>
      </c>
      <c r="N66" s="165"/>
      <c r="O66" s="42"/>
      <c r="P66" s="42">
        <f t="shared" si="16"/>
        <v>0</v>
      </c>
      <c r="Q66" s="165"/>
      <c r="R66" s="42"/>
      <c r="S66" s="42">
        <f t="shared" si="17"/>
        <v>0</v>
      </c>
      <c r="T66" s="165"/>
      <c r="U66" s="42"/>
      <c r="V66" s="42">
        <f t="shared" si="14"/>
        <v>0</v>
      </c>
      <c r="W66" s="5"/>
    </row>
    <row r="67" spans="1:23" ht="15.75">
      <c r="A67" s="21"/>
      <c r="B67" s="21"/>
      <c r="C67" s="13" t="s">
        <v>39</v>
      </c>
      <c r="D67" s="21"/>
      <c r="E67" s="21"/>
      <c r="F67" s="21"/>
      <c r="G67" s="1"/>
      <c r="H67" s="1"/>
      <c r="I67" s="1"/>
      <c r="J67" s="42">
        <v>0</v>
      </c>
      <c r="K67" s="154"/>
      <c r="L67" s="173"/>
      <c r="M67" s="42">
        <f t="shared" si="15"/>
        <v>0</v>
      </c>
      <c r="N67" s="165"/>
      <c r="O67" s="42"/>
      <c r="P67" s="42">
        <f t="shared" si="16"/>
        <v>0</v>
      </c>
      <c r="Q67" s="165"/>
      <c r="R67" s="42"/>
      <c r="S67" s="42">
        <f t="shared" si="17"/>
        <v>0</v>
      </c>
      <c r="T67" s="165"/>
      <c r="U67" s="42"/>
      <c r="V67" s="42">
        <f t="shared" si="14"/>
        <v>0</v>
      </c>
      <c r="W67" s="5"/>
    </row>
    <row r="68" spans="1:24" ht="15.75">
      <c r="A68" s="21"/>
      <c r="B68" s="21"/>
      <c r="C68" s="22" t="s">
        <v>40</v>
      </c>
      <c r="D68" s="10"/>
      <c r="E68" s="31"/>
      <c r="F68" s="31"/>
      <c r="J68" s="42">
        <v>0</v>
      </c>
      <c r="K68" s="154"/>
      <c r="L68" s="173"/>
      <c r="M68" s="42">
        <v>0</v>
      </c>
      <c r="N68" s="164"/>
      <c r="O68" s="144"/>
      <c r="P68" s="42">
        <v>0</v>
      </c>
      <c r="Q68" s="164"/>
      <c r="R68" s="144"/>
      <c r="S68" s="42">
        <v>0</v>
      </c>
      <c r="T68" s="164"/>
      <c r="U68" s="144"/>
      <c r="V68" s="42">
        <f t="shared" si="14"/>
        <v>0</v>
      </c>
      <c r="W68" s="5"/>
      <c r="X68" s="76"/>
    </row>
    <row r="69" spans="1:24" ht="15.75">
      <c r="A69" s="21"/>
      <c r="B69" s="21"/>
      <c r="C69" s="63" t="s">
        <v>41</v>
      </c>
      <c r="D69" s="10"/>
      <c r="E69" s="31"/>
      <c r="F69" s="31"/>
      <c r="J69" s="42">
        <v>0</v>
      </c>
      <c r="K69" s="154"/>
      <c r="L69" s="173"/>
      <c r="M69" s="42">
        <v>0</v>
      </c>
      <c r="N69" s="164"/>
      <c r="O69" s="144"/>
      <c r="P69" s="42">
        <v>0</v>
      </c>
      <c r="Q69" s="164"/>
      <c r="R69" s="144"/>
      <c r="S69" s="42">
        <v>0</v>
      </c>
      <c r="T69" s="164"/>
      <c r="U69" s="144"/>
      <c r="V69" s="42">
        <f t="shared" si="14"/>
        <v>0</v>
      </c>
      <c r="W69" s="5"/>
      <c r="X69" s="76"/>
    </row>
    <row r="70" spans="1:24" ht="15.75">
      <c r="A70" s="21"/>
      <c r="B70" s="21"/>
      <c r="C70" s="63" t="s">
        <v>94</v>
      </c>
      <c r="D70" s="10"/>
      <c r="E70" s="31"/>
      <c r="F70" s="31"/>
      <c r="J70" s="42">
        <v>0</v>
      </c>
      <c r="K70" s="154"/>
      <c r="L70" s="173"/>
      <c r="M70" s="42">
        <v>0</v>
      </c>
      <c r="N70" s="164"/>
      <c r="O70" s="144"/>
      <c r="P70" s="42">
        <v>0</v>
      </c>
      <c r="Q70" s="164"/>
      <c r="R70" s="144"/>
      <c r="S70" s="42">
        <v>0</v>
      </c>
      <c r="T70" s="164"/>
      <c r="U70" s="144"/>
      <c r="V70" s="42">
        <f t="shared" si="14"/>
        <v>0</v>
      </c>
      <c r="W70" s="5"/>
      <c r="X70" s="76"/>
    </row>
    <row r="71" spans="1:24" ht="15">
      <c r="A71" s="21"/>
      <c r="B71" s="21"/>
      <c r="C71" s="63" t="s">
        <v>95</v>
      </c>
      <c r="D71" s="10"/>
      <c r="E71" s="31"/>
      <c r="F71" s="31"/>
      <c r="J71" s="42">
        <v>0</v>
      </c>
      <c r="K71" s="154"/>
      <c r="L71" s="173"/>
      <c r="M71" s="42">
        <v>0</v>
      </c>
      <c r="N71" s="164"/>
      <c r="O71" s="144"/>
      <c r="P71" s="42">
        <v>0</v>
      </c>
      <c r="Q71" s="164"/>
      <c r="R71" s="144"/>
      <c r="S71" s="42">
        <v>0</v>
      </c>
      <c r="T71" s="164"/>
      <c r="U71" s="144"/>
      <c r="V71" s="42">
        <f t="shared" si="14"/>
        <v>0</v>
      </c>
      <c r="W71" s="5"/>
      <c r="X71" s="76"/>
    </row>
    <row r="72" spans="1:24" ht="15">
      <c r="A72" s="40" t="s">
        <v>42</v>
      </c>
      <c r="D72" s="28"/>
      <c r="E72" s="28"/>
      <c r="F72" s="28"/>
      <c r="G72" s="28"/>
      <c r="H72" s="28"/>
      <c r="I72" s="28"/>
      <c r="J72" s="51">
        <f>SUM(J61:J71)</f>
        <v>0</v>
      </c>
      <c r="K72" s="157"/>
      <c r="L72" s="176"/>
      <c r="M72" s="43">
        <f>SUM(M61:M71)</f>
        <v>0</v>
      </c>
      <c r="N72" s="157"/>
      <c r="O72" s="44"/>
      <c r="P72" s="43">
        <f>SUM(P61:P71)</f>
        <v>0</v>
      </c>
      <c r="Q72" s="157"/>
      <c r="R72" s="44"/>
      <c r="S72" s="43">
        <f>SUM(S61:S71)</f>
        <v>0</v>
      </c>
      <c r="T72" s="157"/>
      <c r="U72" s="44"/>
      <c r="V72" s="43">
        <f t="shared" si="14"/>
        <v>0</v>
      </c>
      <c r="W72" s="34"/>
      <c r="X72" s="76"/>
    </row>
    <row r="73" spans="1:23" ht="7.5" customHeight="1">
      <c r="A73" s="21"/>
      <c r="B73" s="21"/>
      <c r="C73" s="26"/>
      <c r="D73" s="28"/>
      <c r="E73" s="28"/>
      <c r="F73" s="28"/>
      <c r="G73" s="26"/>
      <c r="H73" s="26"/>
      <c r="I73" s="26"/>
      <c r="J73" s="52"/>
      <c r="K73" s="153"/>
      <c r="L73" s="172"/>
      <c r="M73" s="46"/>
      <c r="N73" s="153"/>
      <c r="O73" s="46"/>
      <c r="P73" s="46"/>
      <c r="Q73" s="153"/>
      <c r="R73" s="46"/>
      <c r="S73" s="46"/>
      <c r="T73" s="153"/>
      <c r="U73" s="46"/>
      <c r="V73" s="46" t="s">
        <v>1</v>
      </c>
      <c r="W73" s="6"/>
    </row>
    <row r="74" spans="1:23" ht="16.5">
      <c r="A74" s="28"/>
      <c r="B74" s="28"/>
      <c r="C74" s="28"/>
      <c r="D74" s="21"/>
      <c r="E74" s="32" t="s">
        <v>43</v>
      </c>
      <c r="F74" s="32"/>
      <c r="G74" s="39"/>
      <c r="H74" s="39"/>
      <c r="I74" s="39"/>
      <c r="J74" s="65">
        <f>ROUND(+J72+J51+J46+J41+J58,0)</f>
        <v>0</v>
      </c>
      <c r="K74" s="158"/>
      <c r="L74" s="177"/>
      <c r="M74" s="65">
        <f>ROUND(+M72+M51+M46+M41+M58,0)</f>
        <v>0</v>
      </c>
      <c r="N74" s="158"/>
      <c r="O74" s="65"/>
      <c r="P74" s="65">
        <f>ROUND(+P72+P51+P46+P41+P58,0)</f>
        <v>0</v>
      </c>
      <c r="Q74" s="158"/>
      <c r="R74" s="65"/>
      <c r="S74" s="65">
        <f>ROUND(+S72+S51+S46+S41+S58,0)</f>
        <v>0</v>
      </c>
      <c r="T74" s="158"/>
      <c r="U74" s="65"/>
      <c r="V74" s="65">
        <f>SUM(J74:U74)</f>
        <v>0</v>
      </c>
      <c r="W74" s="34"/>
    </row>
    <row r="75" spans="1:22" ht="7.5" customHeight="1">
      <c r="A75" s="28"/>
      <c r="B75" s="28"/>
      <c r="C75" s="28"/>
      <c r="D75" s="21"/>
      <c r="E75" s="32"/>
      <c r="F75" s="32"/>
      <c r="G75" s="39"/>
      <c r="H75" s="39"/>
      <c r="I75" s="39"/>
      <c r="J75" s="66"/>
      <c r="K75" s="158"/>
      <c r="L75" s="177"/>
      <c r="M75" s="65"/>
      <c r="N75" s="166"/>
      <c r="O75" s="192"/>
      <c r="P75" s="65"/>
      <c r="Q75" s="166"/>
      <c r="R75" s="192"/>
      <c r="S75" s="65"/>
      <c r="T75" s="166"/>
      <c r="U75" s="192"/>
      <c r="V75" s="65"/>
    </row>
    <row r="76" spans="1:24" ht="15">
      <c r="A76" s="28"/>
      <c r="B76" s="28"/>
      <c r="C76" s="28"/>
      <c r="D76" s="21"/>
      <c r="G76" s="39"/>
      <c r="H76" s="92" t="s">
        <v>117</v>
      </c>
      <c r="I76" s="39"/>
      <c r="J76" s="74">
        <f>(IF((J68)&gt;25000,(25000),J68)+((IF((J69)&gt;25000,(25000),J69))+((IF((J70)&gt;25000,(25000),J70))+((IF((J71)&gt;25000,(25000),J71))+SUM(J74-J46-J65-J68-J69-J70-J71-J58)))))</f>
        <v>0</v>
      </c>
      <c r="K76" s="159"/>
      <c r="L76" s="178"/>
      <c r="M76" s="74">
        <f>IF(J68&gt;=(25000),0,((IF((J68+M68)&lt;=(25000),M68,(25000-J68)))))+IF(J69&gt;=(25000),0,((IF((J69+M69)&lt;=(25000),M69,(25000-J69)))))+IF(J70&gt;=(25000),0,((IF((J70+M70)&lt;=(25000),M70,(25000-J70)))))+IF(J71&gt;=(25000),0,((IF((J71+M71)&lt;=(25000),M71,(25000-J71)))))+SUM(M74-M46-M65-M68-M69-M70-M71-M58)</f>
        <v>0</v>
      </c>
      <c r="N76" s="159"/>
      <c r="O76" s="193"/>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59"/>
      <c r="R76" s="193"/>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59"/>
      <c r="U76" s="193"/>
      <c r="V76" s="74">
        <f>SUM(J76:U76)</f>
        <v>0</v>
      </c>
      <c r="X76" s="76"/>
    </row>
    <row r="77" spans="1:25" ht="15">
      <c r="A77" s="33" t="s">
        <v>116</v>
      </c>
      <c r="B77" s="1"/>
      <c r="C77" s="1"/>
      <c r="J77" s="42"/>
      <c r="K77" s="160"/>
      <c r="L77" s="179"/>
      <c r="M77" s="50"/>
      <c r="N77" s="160"/>
      <c r="O77" s="56"/>
      <c r="P77" s="50"/>
      <c r="Q77" s="160"/>
      <c r="R77" s="56"/>
      <c r="S77" s="50"/>
      <c r="T77" s="160"/>
      <c r="U77" s="56"/>
      <c r="V77" s="50"/>
      <c r="W77" s="5"/>
      <c r="Y77" s="75"/>
    </row>
    <row r="78" spans="1:23" ht="15">
      <c r="A78" s="13" t="s">
        <v>119</v>
      </c>
      <c r="B78" s="1"/>
      <c r="D78" s="7">
        <f>IF(AND(($E$89)="R",($E$91)="C"),('RATES-Fed'!E46),IF(AND(($E$89)="R",($E$91)="O"),('RATES-Fed'!E51),IF(AND(($E$89)="I",($E$91)="C"),('RATES-Fed'!E47),IF(AND(($E$89)="I",($E$91)="O"),('RATES-Fed'!E52),IF(AND(($E$89)="P",($E$91)="C"),('RATES-Fed'!E48),IF(AND(($E$89)="P",($E$91)="O"),('RATES-Fed'!E53),($E$90)))))))</f>
        <v>0.6175</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f>IF(AND(($E$89)="R",($E$91)="C"),('RATES-Fed'!K46),IF(AND(($E$89)="R",($E$91)="O"),('RATES-Fed'!K51),IF(AND(($E$89)="I",($E$91)="C"),('RATES-Fed'!K47),IF(AND(($E$89)="I",($E$91)="O"),('RATES-Fed'!K52),IF(AND(($E$89)="P",($E$91)="C"),('RATES-Fed'!K48),IF(AND(($E$89)="P",($E$91)="O"),('RATES-Fed'!K53),($E$90)))))))</f>
        <v>0.62</v>
      </c>
      <c r="H78" s="7"/>
      <c r="J78" s="50">
        <f>ROUND(+D78*(J74-J46-J68-J69-J70-J71-J65-J58),0)</f>
        <v>0</v>
      </c>
      <c r="K78" s="154"/>
      <c r="L78" s="173"/>
      <c r="M78" s="50">
        <f>ROUND(+E78*(M74-M46-M68-M69-M70-M71-M65-M58),0)</f>
        <v>0</v>
      </c>
      <c r="N78" s="154"/>
      <c r="O78" s="50"/>
      <c r="P78" s="50">
        <f>ROUND(+F78*(P74-P46-P68-P69-P70-P71-P65-P58),0)</f>
        <v>0</v>
      </c>
      <c r="Q78" s="154"/>
      <c r="R78" s="50"/>
      <c r="S78" s="50">
        <f>ROUND(+G78*(S74-S46-S68-S69-S70-S71-S65-S58),0)</f>
        <v>0</v>
      </c>
      <c r="T78" s="154"/>
      <c r="U78" s="50"/>
      <c r="V78" s="50">
        <f aca="true" t="shared" si="18" ref="V78:V83">SUM(J78:U78)</f>
        <v>0</v>
      </c>
      <c r="W78" s="5"/>
    </row>
    <row r="79" spans="1:23" ht="15">
      <c r="A79" s="13" t="s">
        <v>44</v>
      </c>
      <c r="D79" s="7">
        <f aca="true" t="shared" si="19" ref="D79:G81">+D78</f>
        <v>0.6175</v>
      </c>
      <c r="E79" s="7">
        <f t="shared" si="19"/>
        <v>0.62</v>
      </c>
      <c r="F79" s="7">
        <f t="shared" si="19"/>
        <v>0.62</v>
      </c>
      <c r="G79" s="7">
        <f t="shared" si="19"/>
        <v>0.62</v>
      </c>
      <c r="H79" s="7"/>
      <c r="J79" s="50">
        <f>(IF((J68)&gt;25000,(25000),J68)*D79)</f>
        <v>0</v>
      </c>
      <c r="K79" s="50"/>
      <c r="L79" s="50"/>
      <c r="M79" s="50">
        <f>IF(J68&gt;=(25000),0,((IF((J68+M68)&lt;=(25000),M68,(25000-J68))))*E79)</f>
        <v>0</v>
      </c>
      <c r="N79" s="263"/>
      <c r="O79" s="50"/>
      <c r="P79" s="50">
        <f>IF(J68&gt;=(25000),0,(((IF((J68+M68)&gt;=(25000),0,((IF((J68+M68+P68)&lt;=(25000),P68,(25000-SUM(J68+M68)))))))))*F79)</f>
        <v>0</v>
      </c>
      <c r="Q79" s="263"/>
      <c r="R79" s="50"/>
      <c r="S79" s="50">
        <f>IF(J68&gt;=(25000),0,(((IF((J68+M68)&gt;=(25000),0,((IF((J68+M68+P68)&gt;=(25000),0,(IF((J68+M68+P68+S68)&lt;=(25000),S68,(25000-SUM(J68+M68+P68)))))))))))*G79)</f>
        <v>0</v>
      </c>
      <c r="T79" s="154"/>
      <c r="U79" s="50"/>
      <c r="V79" s="50">
        <f t="shared" si="18"/>
        <v>0</v>
      </c>
      <c r="W79" s="5"/>
    </row>
    <row r="80" spans="1:23" ht="15">
      <c r="A80" s="13" t="s">
        <v>45</v>
      </c>
      <c r="D80" s="7">
        <f t="shared" si="19"/>
        <v>0.6175</v>
      </c>
      <c r="E80" s="7">
        <f t="shared" si="19"/>
        <v>0.62</v>
      </c>
      <c r="F80" s="7">
        <f t="shared" si="19"/>
        <v>0.62</v>
      </c>
      <c r="G80" s="7">
        <f t="shared" si="19"/>
        <v>0.62</v>
      </c>
      <c r="H80" s="7"/>
      <c r="J80" s="50">
        <f>(IF((J69)&gt;25000,(25000),J69)*D80)</f>
        <v>0</v>
      </c>
      <c r="K80" s="263"/>
      <c r="L80" s="173"/>
      <c r="M80" s="50">
        <f>IF(J69&gt;=(25000),0,((IF((J69+M69)&lt;=(25000),M69,(25000-J69))))*E80)</f>
        <v>0</v>
      </c>
      <c r="N80" s="263"/>
      <c r="O80" s="50"/>
      <c r="P80" s="50">
        <f>IF(J69&gt;=(25000),0,(((IF((J69+M69)&gt;=(25000),0,((IF((J69+M69+P69)&lt;=(25000),P69,(25000-SUM(J69+M69)))))))))*F80)</f>
        <v>0</v>
      </c>
      <c r="Q80" s="263"/>
      <c r="R80" s="50"/>
      <c r="S80" s="50">
        <f>IF(J69&gt;=(25000),0,(((IF((J69+M69)&gt;=(25000),0,((IF((J69+M69+P69)&gt;=(25000),0,(IF((J69+M69+P69+S69)&lt;=(25000),S69,(25000-SUM(J69+M69+P69)))))))))))*G80)</f>
        <v>0</v>
      </c>
      <c r="T80" s="154"/>
      <c r="U80" s="50"/>
      <c r="V80" s="50">
        <f t="shared" si="18"/>
        <v>0</v>
      </c>
      <c r="W80" s="5"/>
    </row>
    <row r="81" spans="1:23" ht="15">
      <c r="A81" s="13" t="s">
        <v>92</v>
      </c>
      <c r="D81" s="7">
        <f t="shared" si="19"/>
        <v>0.6175</v>
      </c>
      <c r="E81" s="7">
        <f t="shared" si="19"/>
        <v>0.62</v>
      </c>
      <c r="F81" s="7">
        <f t="shared" si="19"/>
        <v>0.62</v>
      </c>
      <c r="G81" s="7">
        <f t="shared" si="19"/>
        <v>0.62</v>
      </c>
      <c r="H81" s="7"/>
      <c r="J81" s="50">
        <f>(IF((J70)&gt;25000,(25000),J70)*D81)</f>
        <v>0</v>
      </c>
      <c r="K81" s="263"/>
      <c r="L81" s="173"/>
      <c r="M81" s="50">
        <f>IF(J70&gt;=(25000),0,((IF((J70+M70)&lt;=(25000),M70,(25000-J70))))*E81)</f>
        <v>0</v>
      </c>
      <c r="N81" s="263"/>
      <c r="O81" s="50"/>
      <c r="P81" s="50">
        <f>IF(J70&gt;=(25000),0,(((IF((J70+M70)&gt;=(25000),0,((IF((J70+M70+P70)&lt;=(25000),P70,(25000-SUM(J70+M70)))))))))*F81)</f>
        <v>0</v>
      </c>
      <c r="Q81" s="263"/>
      <c r="R81" s="50"/>
      <c r="S81" s="50">
        <f>IF(J70&gt;=(25000),0,(((IF((J70+M70)&gt;=(25000),0,((IF((J70+M70+P70)&gt;=(25000),0,(IF((J70+M70+P70+S70)&lt;=(25000),S70,(25000-SUM(J70+M70+P70)))))))))))*G81)</f>
        <v>0</v>
      </c>
      <c r="T81" s="154"/>
      <c r="U81" s="50"/>
      <c r="V81" s="50">
        <f t="shared" si="18"/>
        <v>0</v>
      </c>
      <c r="W81" s="5"/>
    </row>
    <row r="82" spans="1:23" ht="15">
      <c r="A82" s="13" t="s">
        <v>93</v>
      </c>
      <c r="B82" s="1"/>
      <c r="C82" s="1"/>
      <c r="D82" s="7">
        <f>+D79</f>
        <v>0.6175</v>
      </c>
      <c r="E82" s="7">
        <f>+E79</f>
        <v>0.62</v>
      </c>
      <c r="F82" s="7">
        <f>+F79</f>
        <v>0.62</v>
      </c>
      <c r="G82" s="7">
        <f>+G79</f>
        <v>0.62</v>
      </c>
      <c r="H82" s="7"/>
      <c r="J82" s="50">
        <f>(IF((J71)&gt;25000,(25000),J71)*D82)</f>
        <v>0</v>
      </c>
      <c r="K82" s="263"/>
      <c r="L82" s="173"/>
      <c r="M82" s="50">
        <f>IF(J71&gt;=(25000),0,((IF((J71+M71)&lt;=(25000),M71,(25000-J71))))*E82)</f>
        <v>0</v>
      </c>
      <c r="N82" s="263"/>
      <c r="O82" s="50"/>
      <c r="P82" s="50">
        <f>IF(J71&gt;=(25000),0,(((IF((J71+M71)&gt;=(25000),0,((IF((J71+M71+P71)&lt;=(25000),P71,(25000-SUM(J71+M71)))))))))*F82)</f>
        <v>0</v>
      </c>
      <c r="Q82" s="263"/>
      <c r="R82" s="50"/>
      <c r="S82" s="50">
        <f>IF(J71&gt;=(25000),0,(((IF((J71+M71)&gt;=(25000),0,((IF((J71+M71+P71)&gt;=(25000),0,(IF((J71+M71+P71+S71)&lt;=(25000),S71,(25000-SUM(J71+M71+P71)))))))))))*G82)</f>
        <v>0</v>
      </c>
      <c r="T82" s="154"/>
      <c r="U82" s="50"/>
      <c r="V82" s="50">
        <f t="shared" si="18"/>
        <v>0</v>
      </c>
      <c r="W82" s="5"/>
    </row>
    <row r="83" spans="1:23" ht="15">
      <c r="A83" s="40" t="s">
        <v>118</v>
      </c>
      <c r="B83" s="1"/>
      <c r="C83" s="24"/>
      <c r="D83" s="35"/>
      <c r="E83" s="7"/>
      <c r="F83" s="7"/>
      <c r="G83" s="7"/>
      <c r="H83" s="7"/>
      <c r="I83" s="7"/>
      <c r="J83" s="53">
        <f>SUM(J78:J82)</f>
        <v>0</v>
      </c>
      <c r="K83" s="157"/>
      <c r="L83" s="176"/>
      <c r="M83" s="53">
        <f>SUM(M78:M82)</f>
        <v>0</v>
      </c>
      <c r="N83" s="157"/>
      <c r="O83" s="44"/>
      <c r="P83" s="53">
        <f>SUM(P78:P82)</f>
        <v>0</v>
      </c>
      <c r="Q83" s="157"/>
      <c r="R83" s="44"/>
      <c r="S83" s="53">
        <f>SUM(S78:S82)</f>
        <v>0</v>
      </c>
      <c r="T83" s="157"/>
      <c r="U83" s="44"/>
      <c r="V83" s="53">
        <f t="shared" si="18"/>
        <v>0</v>
      </c>
      <c r="W83" s="5"/>
    </row>
    <row r="84" spans="1:23" ht="6.75" customHeight="1">
      <c r="A84" s="40"/>
      <c r="B84" s="1"/>
      <c r="C84" s="24"/>
      <c r="D84" s="35"/>
      <c r="E84" s="7"/>
      <c r="F84" s="7"/>
      <c r="G84" s="7"/>
      <c r="H84" s="7"/>
      <c r="I84" s="7"/>
      <c r="J84" s="61"/>
      <c r="K84" s="157"/>
      <c r="L84" s="176"/>
      <c r="M84" s="62"/>
      <c r="N84" s="157"/>
      <c r="O84" s="44"/>
      <c r="P84" s="62"/>
      <c r="Q84" s="157"/>
      <c r="R84" s="44"/>
      <c r="S84" s="62"/>
      <c r="T84" s="157"/>
      <c r="U84" s="44"/>
      <c r="V84" s="62"/>
      <c r="W84" s="5"/>
    </row>
    <row r="85" spans="1:23" ht="18" thickBot="1">
      <c r="A85" s="40"/>
      <c r="B85" s="1"/>
      <c r="C85" s="60" t="s">
        <v>46</v>
      </c>
      <c r="D85" s="35"/>
      <c r="E85" s="7"/>
      <c r="F85" s="7"/>
      <c r="G85" s="7"/>
      <c r="H85" s="7"/>
      <c r="I85" s="7"/>
      <c r="J85" s="72">
        <f>J83+J74</f>
        <v>0</v>
      </c>
      <c r="K85" s="158"/>
      <c r="L85" s="177"/>
      <c r="M85" s="72">
        <f>M83+M74</f>
        <v>0</v>
      </c>
      <c r="N85" s="158"/>
      <c r="O85" s="65"/>
      <c r="P85" s="72">
        <f>P83+P74</f>
        <v>0</v>
      </c>
      <c r="Q85" s="158"/>
      <c r="R85" s="65"/>
      <c r="S85" s="72">
        <f>S83+S74</f>
        <v>0</v>
      </c>
      <c r="T85" s="158"/>
      <c r="U85" s="65"/>
      <c r="V85" s="72">
        <f>SUM(J85:U85)</f>
        <v>0</v>
      </c>
      <c r="W85" s="5"/>
    </row>
    <row r="86" spans="1:23" ht="8.25" customHeight="1" thickTop="1">
      <c r="A86" s="28"/>
      <c r="B86" s="1"/>
      <c r="C86" s="35"/>
      <c r="D86" s="7"/>
      <c r="E86" s="7"/>
      <c r="F86" s="7"/>
      <c r="G86" s="7"/>
      <c r="H86" s="7"/>
      <c r="I86" s="7"/>
      <c r="J86" s="50"/>
      <c r="K86" s="154"/>
      <c r="L86" s="173"/>
      <c r="M86" s="50"/>
      <c r="N86" s="154"/>
      <c r="O86" s="50"/>
      <c r="P86" s="50"/>
      <c r="Q86" s="154"/>
      <c r="R86" s="50"/>
      <c r="S86" s="50"/>
      <c r="T86" s="154"/>
      <c r="U86" s="50"/>
      <c r="V86" s="50" t="s">
        <v>1</v>
      </c>
      <c r="W86" s="5"/>
    </row>
    <row r="87" spans="1:23" ht="9" customHeight="1">
      <c r="A87" s="1"/>
      <c r="B87" s="1"/>
      <c r="C87" s="1"/>
      <c r="D87" s="1"/>
      <c r="E87" s="1"/>
      <c r="F87" s="1"/>
      <c r="G87" s="1"/>
      <c r="H87" s="1"/>
      <c r="I87" s="1"/>
      <c r="J87" s="49"/>
      <c r="K87" s="161"/>
      <c r="L87" s="180"/>
      <c r="M87" s="58"/>
      <c r="N87" s="161"/>
      <c r="O87" s="57"/>
      <c r="P87" s="58"/>
      <c r="Q87" s="161"/>
      <c r="R87" s="57"/>
      <c r="S87" s="58"/>
      <c r="T87" s="161"/>
      <c r="U87" s="57"/>
      <c r="V87" s="58"/>
      <c r="W87" s="1"/>
    </row>
    <row r="88" ht="15">
      <c r="C88" s="36" t="s">
        <v>120</v>
      </c>
    </row>
    <row r="89" spans="3:7" ht="15">
      <c r="C89" s="14" t="s">
        <v>47</v>
      </c>
      <c r="E89" s="15" t="s">
        <v>48</v>
      </c>
      <c r="G89" s="14" t="s">
        <v>49</v>
      </c>
    </row>
    <row r="90" spans="3:6" ht="15">
      <c r="C90" s="14" t="s">
        <v>177</v>
      </c>
      <c r="E90" s="9">
        <v>0.1</v>
      </c>
      <c r="F90" s="9"/>
    </row>
    <row r="91" spans="3:7" ht="15">
      <c r="C91" s="14" t="s">
        <v>50</v>
      </c>
      <c r="E91" s="168" t="s">
        <v>51</v>
      </c>
      <c r="G91" s="14" t="s">
        <v>52</v>
      </c>
    </row>
    <row r="93" spans="4:19" ht="15">
      <c r="D93" s="216" t="s">
        <v>199</v>
      </c>
      <c r="H93" s="214">
        <f>+'RATES-Fed'!E31</f>
        <v>0.605</v>
      </c>
      <c r="J93" s="213">
        <f>J83/12*'RATES-Fed'!$C$46</f>
        <v>0</v>
      </c>
      <c r="L93" s="214">
        <f>+'RATES-Fed'!G31</f>
        <v>0.62</v>
      </c>
      <c r="M93" s="213">
        <f>M83/12*'RATES-Fed'!$C$46</f>
        <v>0</v>
      </c>
      <c r="O93" s="215">
        <f>+'RATES-Fed'!I31</f>
        <v>0.62</v>
      </c>
      <c r="P93" s="213">
        <f>P83/12*'RATES-Fed'!$C$46</f>
        <v>0</v>
      </c>
      <c r="R93" s="215">
        <f>+'RATES-Fed'!K31</f>
        <v>0.62</v>
      </c>
      <c r="S93" s="213">
        <f>S83/12*'RATES-Fed'!$C$46</f>
        <v>0</v>
      </c>
    </row>
    <row r="94" spans="4:19" ht="15.75" customHeight="1">
      <c r="D94" s="307" t="s">
        <v>200</v>
      </c>
      <c r="E94" s="307"/>
      <c r="F94" s="307"/>
      <c r="G94" s="307"/>
      <c r="H94" s="214">
        <f>+'RATES-Fed'!G31</f>
        <v>0.62</v>
      </c>
      <c r="J94" s="213">
        <f>J83/12*'RATES-Fed'!$D$46</f>
        <v>0</v>
      </c>
      <c r="L94" s="214">
        <f>+'RATES-Fed'!I31</f>
        <v>0.62</v>
      </c>
      <c r="M94" s="213">
        <f>M83/12*'RATES-Fed'!$D$46</f>
        <v>0</v>
      </c>
      <c r="O94" s="215">
        <f>+'RATES-Fed'!K31</f>
        <v>0.62</v>
      </c>
      <c r="P94" s="213">
        <f>P83/12*'RATES-Fed'!$D$46</f>
        <v>0</v>
      </c>
      <c r="R94" s="215">
        <f>+'RATES-Fed'!M31</f>
        <v>0.62</v>
      </c>
      <c r="S94" s="213">
        <f>S83/12*'RATES-Fed'!$D$46</f>
        <v>0</v>
      </c>
    </row>
    <row r="95" spans="4:23" ht="17.25">
      <c r="D95" s="307"/>
      <c r="E95" s="307"/>
      <c r="F95" s="307"/>
      <c r="G95" s="307"/>
      <c r="J95" s="213">
        <f>SUM(J93:J94)</f>
        <v>0</v>
      </c>
      <c r="M95" s="213">
        <f>SUM(M93:M94)</f>
        <v>0</v>
      </c>
      <c r="P95" s="213">
        <f>SUM(P93:P94)</f>
        <v>0</v>
      </c>
      <c r="S95" s="213">
        <f>SUM(S93:S94)</f>
        <v>0</v>
      </c>
      <c r="U95" s="318">
        <f>'RATES-Fed'!Q67</f>
        <v>0</v>
      </c>
      <c r="V95" s="318"/>
      <c r="W95" s="318"/>
    </row>
  </sheetData>
  <sheetProtection/>
  <mergeCells count="7">
    <mergeCell ref="D94:G95"/>
    <mergeCell ref="K4:U5"/>
    <mergeCell ref="J8:L8"/>
    <mergeCell ref="M8:O8"/>
    <mergeCell ref="P8:R8"/>
    <mergeCell ref="S8:U8"/>
    <mergeCell ref="U95:W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landscape" scale="40"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95"/>
  <sheetViews>
    <sheetView showGridLines="0" zoomScale="75" zoomScaleNormal="75" workbookViewId="0" topLeftCell="B40">
      <selection activeCell="D78" sqref="D78"/>
    </sheetView>
  </sheetViews>
  <sheetFormatPr defaultColWidth="9.625" defaultRowHeight="15.75"/>
  <cols>
    <col min="1" max="2" width="2.625" style="0" customWidth="1"/>
    <col min="3" max="3" width="20.50390625" style="0" customWidth="1"/>
    <col min="4" max="4" width="16.125" style="0" customWidth="1"/>
    <col min="5" max="5" width="8.25390625" style="0" bestFit="1"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9.25390625" style="162" bestFit="1" customWidth="1"/>
    <col min="12" max="12" width="10.125" style="181" bestFit="1" customWidth="1"/>
    <col min="13" max="13" width="11.25390625" style="0" customWidth="1"/>
    <col min="14" max="14" width="9.25390625" style="162" bestFit="1" customWidth="1"/>
    <col min="15" max="15" width="9.50390625" style="90" bestFit="1" customWidth="1"/>
    <col min="16" max="16" width="11.25390625" style="0" customWidth="1"/>
    <col min="17" max="17" width="9.25390625" style="162" bestFit="1" customWidth="1"/>
    <col min="18" max="18" width="8.75390625" style="90" bestFit="1" customWidth="1"/>
    <col min="19" max="19" width="11.25390625" style="0" customWidth="1"/>
    <col min="20" max="20" width="9.25390625" style="162" bestFit="1" customWidth="1"/>
    <col min="21" max="21" width="8.75390625" style="90" bestFit="1" customWidth="1"/>
    <col min="22" max="22" width="10.25390625" style="90" customWidth="1"/>
    <col min="23" max="24" width="8.75390625" style="90" customWidth="1"/>
    <col min="25" max="25" width="14.625" style="0" customWidth="1"/>
    <col min="26" max="26" width="2.625" style="0" customWidth="1"/>
  </cols>
  <sheetData>
    <row r="1" spans="1:24" ht="18.75">
      <c r="A1" s="17" t="s">
        <v>0</v>
      </c>
      <c r="B1" s="18"/>
      <c r="C1" s="18"/>
      <c r="D1" s="18"/>
      <c r="E1" s="18"/>
      <c r="F1" s="18"/>
      <c r="G1" s="18"/>
      <c r="H1" s="18"/>
      <c r="I1" s="18"/>
      <c r="J1" s="19"/>
      <c r="K1" s="148"/>
      <c r="L1" s="169"/>
      <c r="M1" s="37"/>
      <c r="N1" s="163"/>
      <c r="O1" s="191"/>
      <c r="P1" s="37"/>
      <c r="Q1" s="163"/>
      <c r="R1" s="191"/>
      <c r="S1" s="37"/>
      <c r="T1" s="163"/>
      <c r="U1" s="191"/>
      <c r="V1" s="191"/>
      <c r="W1" s="191"/>
      <c r="X1" s="191"/>
    </row>
    <row r="2" spans="1:25" ht="18.75">
      <c r="A2" s="17" t="s">
        <v>91</v>
      </c>
      <c r="B2" s="18"/>
      <c r="C2" s="18"/>
      <c r="D2" s="18"/>
      <c r="E2" s="18"/>
      <c r="F2" s="18"/>
      <c r="G2" s="18"/>
      <c r="H2" s="18"/>
      <c r="I2" s="18"/>
      <c r="J2" s="19"/>
      <c r="K2" s="148"/>
      <c r="L2" s="169"/>
      <c r="M2" s="37"/>
      <c r="N2" s="163"/>
      <c r="O2" s="191"/>
      <c r="P2" s="37"/>
      <c r="Q2" s="163"/>
      <c r="R2" s="191"/>
      <c r="S2" s="37"/>
      <c r="T2" s="163"/>
      <c r="U2" s="191"/>
      <c r="V2" s="191"/>
      <c r="W2" s="191"/>
      <c r="X2" s="191"/>
      <c r="Y2" s="37"/>
    </row>
    <row r="3" spans="1:25" ht="9.75" customHeight="1">
      <c r="A3" s="10" t="s">
        <v>1</v>
      </c>
      <c r="B3" s="1"/>
      <c r="J3" s="11" t="s">
        <v>1</v>
      </c>
      <c r="K3" s="149"/>
      <c r="L3" s="170"/>
      <c r="M3" s="8"/>
      <c r="P3" s="8"/>
      <c r="S3" s="8"/>
      <c r="Y3" s="8"/>
    </row>
    <row r="4" spans="1:25" ht="15.75">
      <c r="A4" s="22" t="s">
        <v>2</v>
      </c>
      <c r="B4" s="1"/>
      <c r="D4" s="10" t="s">
        <v>70</v>
      </c>
      <c r="G4" s="3"/>
      <c r="J4" s="20" t="s">
        <v>3</v>
      </c>
      <c r="K4" s="308" t="s">
        <v>70</v>
      </c>
      <c r="L4" s="309"/>
      <c r="M4" s="310"/>
      <c r="N4" s="310"/>
      <c r="O4" s="310"/>
      <c r="P4" s="310"/>
      <c r="Q4" s="310"/>
      <c r="R4" s="310"/>
      <c r="S4" s="310"/>
      <c r="T4" s="310"/>
      <c r="U4" s="311"/>
      <c r="V4" s="277"/>
      <c r="W4" s="277"/>
      <c r="X4" s="277"/>
      <c r="Y4" s="8"/>
    </row>
    <row r="5" spans="1:25" ht="18.75">
      <c r="A5" s="22" t="s">
        <v>4</v>
      </c>
      <c r="B5" s="1"/>
      <c r="D5" s="10" t="s">
        <v>70</v>
      </c>
      <c r="E5" s="3"/>
      <c r="F5" s="3"/>
      <c r="H5" s="2"/>
      <c r="I5" s="2"/>
      <c r="J5" s="38"/>
      <c r="K5" s="312"/>
      <c r="L5" s="313"/>
      <c r="M5" s="313"/>
      <c r="N5" s="313"/>
      <c r="O5" s="313"/>
      <c r="P5" s="313"/>
      <c r="Q5" s="313"/>
      <c r="R5" s="313"/>
      <c r="S5" s="313"/>
      <c r="T5" s="313"/>
      <c r="U5" s="314"/>
      <c r="V5" s="277"/>
      <c r="W5" s="277"/>
      <c r="X5" s="277"/>
      <c r="Y5" s="8"/>
    </row>
    <row r="6" spans="1:25" ht="15.75">
      <c r="A6" s="14"/>
      <c r="B6" s="22" t="s">
        <v>5</v>
      </c>
      <c r="D6" s="73">
        <f>'RATES-Fed'!E2</f>
        <v>44317</v>
      </c>
      <c r="E6" s="12" t="s">
        <v>6</v>
      </c>
      <c r="F6" s="12"/>
      <c r="G6" s="73">
        <f>'RATES-Fed'!G2</f>
        <v>46142</v>
      </c>
      <c r="H6" s="4"/>
      <c r="I6" s="4"/>
      <c r="J6" s="2"/>
      <c r="K6" s="150"/>
      <c r="L6" s="171"/>
      <c r="M6" s="3"/>
      <c r="N6" s="150"/>
      <c r="O6" s="145"/>
      <c r="P6" s="3"/>
      <c r="Q6" s="150"/>
      <c r="R6" s="145"/>
      <c r="S6" s="3"/>
      <c r="T6" s="150"/>
      <c r="U6" s="145"/>
      <c r="V6" s="145"/>
      <c r="W6" s="145"/>
      <c r="X6" s="145"/>
      <c r="Y6" s="8"/>
    </row>
    <row r="7" spans="5:26" ht="7.5" customHeight="1">
      <c r="E7" s="3"/>
      <c r="F7" s="3"/>
      <c r="G7" s="1"/>
      <c r="H7" s="1"/>
      <c r="I7" s="1"/>
      <c r="J7" s="16" t="s">
        <v>1</v>
      </c>
      <c r="K7" s="149"/>
      <c r="L7" s="170"/>
      <c r="M7" s="8"/>
      <c r="N7" s="149"/>
      <c r="O7" s="139"/>
      <c r="P7" s="8"/>
      <c r="Q7" s="149"/>
      <c r="R7" s="139"/>
      <c r="S7" s="8"/>
      <c r="T7" s="149"/>
      <c r="U7" s="139"/>
      <c r="V7" s="139"/>
      <c r="W7" s="139"/>
      <c r="X7" s="139"/>
      <c r="Y7" s="8"/>
      <c r="Z7" s="1"/>
    </row>
    <row r="8" spans="1:26" ht="15.75">
      <c r="A8" s="21"/>
      <c r="B8" s="21"/>
      <c r="C8" s="21"/>
      <c r="D8" s="21"/>
      <c r="E8" s="21"/>
      <c r="F8" s="21"/>
      <c r="G8" s="21"/>
      <c r="H8" s="21"/>
      <c r="I8" s="21"/>
      <c r="J8" s="297" t="s">
        <v>21</v>
      </c>
      <c r="K8" s="298"/>
      <c r="L8" s="299"/>
      <c r="M8" s="315" t="s">
        <v>54</v>
      </c>
      <c r="N8" s="316"/>
      <c r="O8" s="317"/>
      <c r="P8" s="315" t="s">
        <v>56</v>
      </c>
      <c r="Q8" s="316"/>
      <c r="R8" s="317"/>
      <c r="S8" s="315" t="s">
        <v>58</v>
      </c>
      <c r="T8" s="316"/>
      <c r="U8" s="317"/>
      <c r="V8" s="315" t="s">
        <v>60</v>
      </c>
      <c r="W8" s="316"/>
      <c r="X8" s="317"/>
      <c r="Y8" s="167" t="s">
        <v>8</v>
      </c>
      <c r="Z8" s="21"/>
    </row>
    <row r="9" spans="1:26" s="143" customFormat="1" ht="15.75">
      <c r="A9" s="141" t="s">
        <v>9</v>
      </c>
      <c r="B9" s="141" t="s">
        <v>10</v>
      </c>
      <c r="C9" s="141"/>
      <c r="D9" s="141"/>
      <c r="E9" s="141"/>
      <c r="F9" s="141"/>
      <c r="G9" s="141"/>
      <c r="H9" s="141"/>
      <c r="I9" s="141"/>
      <c r="J9" s="185" t="s">
        <v>182</v>
      </c>
      <c r="K9" s="151" t="s">
        <v>183</v>
      </c>
      <c r="L9" s="141" t="s">
        <v>184</v>
      </c>
      <c r="M9" s="190" t="s">
        <v>182</v>
      </c>
      <c r="N9" s="151" t="s">
        <v>183</v>
      </c>
      <c r="O9" s="141" t="s">
        <v>184</v>
      </c>
      <c r="P9" s="190" t="s">
        <v>182</v>
      </c>
      <c r="Q9" s="151" t="s">
        <v>183</v>
      </c>
      <c r="R9" s="141" t="s">
        <v>184</v>
      </c>
      <c r="S9" s="190" t="s">
        <v>182</v>
      </c>
      <c r="T9" s="151" t="s">
        <v>183</v>
      </c>
      <c r="U9" s="141" t="s">
        <v>184</v>
      </c>
      <c r="V9" s="190" t="s">
        <v>182</v>
      </c>
      <c r="W9" s="151" t="s">
        <v>183</v>
      </c>
      <c r="X9" s="141" t="s">
        <v>184</v>
      </c>
      <c r="Y9" s="142"/>
      <c r="Z9" s="141"/>
    </row>
    <row r="10" spans="1:26" ht="15.75">
      <c r="A10" s="1"/>
      <c r="B10" s="23" t="s">
        <v>11</v>
      </c>
      <c r="C10" s="24"/>
      <c r="D10" s="24" t="s">
        <v>101</v>
      </c>
      <c r="E10" s="1" t="s">
        <v>12</v>
      </c>
      <c r="F10" s="41" t="s">
        <v>123</v>
      </c>
      <c r="G10" s="41" t="s">
        <v>13</v>
      </c>
      <c r="H10" s="1"/>
      <c r="I10" s="1"/>
      <c r="J10" s="186"/>
      <c r="K10" s="149"/>
      <c r="L10" s="139"/>
      <c r="M10" s="186"/>
      <c r="N10" s="149"/>
      <c r="O10" s="139"/>
      <c r="P10" s="186"/>
      <c r="Q10" s="149"/>
      <c r="R10" s="139"/>
      <c r="S10" s="186"/>
      <c r="T10" s="149"/>
      <c r="U10" s="139"/>
      <c r="V10" s="186"/>
      <c r="W10" s="149"/>
      <c r="X10" s="139"/>
      <c r="Y10" s="2">
        <f>IF(SUM(J10:N10)=0,"",SUM(J10:N10))</f>
      </c>
      <c r="Z10" s="1"/>
    </row>
    <row r="11" spans="1:26" ht="15.75">
      <c r="A11" s="1"/>
      <c r="B11" s="1" t="s">
        <v>14</v>
      </c>
      <c r="C11" s="10" t="str">
        <f>D5</f>
        <v>name</v>
      </c>
      <c r="D11" s="136" t="s">
        <v>125</v>
      </c>
      <c r="E11" s="70">
        <v>0</v>
      </c>
      <c r="F11" s="95">
        <f>IF(D11="CAL",(52*E11/4.3333),(IF(D11="ACAD",(36.35*E11/4.33333),IF(D11="SUMR",(15.65*E11/4.33333),IF(D11="PT",(0),0)))))</f>
        <v>0</v>
      </c>
      <c r="G11" s="69">
        <v>0</v>
      </c>
      <c r="J11" s="183">
        <f>ROUND(G11*E11,0)</f>
        <v>0</v>
      </c>
      <c r="K11" s="152">
        <f>ROUND(J11*'RATES-Fed'!E38,0)</f>
        <v>0</v>
      </c>
      <c r="L11" s="67">
        <f>ROUND(K11+J11,0)</f>
        <v>0</v>
      </c>
      <c r="M11" s="183">
        <f>ROUND((J11*1.025),0)</f>
        <v>0</v>
      </c>
      <c r="N11" s="152">
        <f>ROUND(M11*'RATES-Fed'!G38,0)</f>
        <v>0</v>
      </c>
      <c r="O11" s="67">
        <f aca="true" t="shared" si="0" ref="O11:O18">ROUND(M11+N11,0)</f>
        <v>0</v>
      </c>
      <c r="P11" s="183">
        <f>ROUND((M11*1.0275),0)</f>
        <v>0</v>
      </c>
      <c r="Q11" s="152">
        <f>ROUND(P11*'RATES-Fed'!I38,0)</f>
        <v>0</v>
      </c>
      <c r="R11" s="67">
        <f>SUM(P11:Q11)</f>
        <v>0</v>
      </c>
      <c r="S11" s="183">
        <f>ROUND((P11*1.03),0)</f>
        <v>0</v>
      </c>
      <c r="T11" s="152">
        <f>ROUND(S11*'RATES-Fed'!K38,0)</f>
        <v>0</v>
      </c>
      <c r="U11" s="67">
        <f aca="true" t="shared" si="1" ref="U11:U18">SUM(S11:T11)</f>
        <v>0</v>
      </c>
      <c r="V11" s="183">
        <f>ROUND((S11*1.03),0)</f>
        <v>0</v>
      </c>
      <c r="W11" s="152">
        <f>ROUND(V11*'RATES-Fed'!M38,0)</f>
        <v>0</v>
      </c>
      <c r="X11" s="67">
        <f aca="true" t="shared" si="2" ref="X11:X18">SUM(V11:W11)</f>
        <v>0</v>
      </c>
      <c r="Y11" s="42">
        <f>SUM(L11+O11+R11+U11+X11)</f>
        <v>0</v>
      </c>
      <c r="Z11" s="1"/>
    </row>
    <row r="12" spans="1:26" ht="15.75">
      <c r="A12" s="1"/>
      <c r="B12" s="1" t="s">
        <v>14</v>
      </c>
      <c r="C12" s="3"/>
      <c r="D12" s="136" t="str">
        <f>IF(D11="ACAD",("SUMR"),"")</f>
        <v>SUMR</v>
      </c>
      <c r="E12" s="70">
        <v>0</v>
      </c>
      <c r="F12" s="95">
        <f>IF(D12="CAL",(52*E12/4.3333),(IF(D12="ACAD",(36.35*E12/4.33333),IF(D12="SUMR",(15.65*E12/4.33333),IF(D12="PT",(0),0)))))</f>
        <v>0</v>
      </c>
      <c r="G12" s="69">
        <f>+G11*0.4375</f>
        <v>0</v>
      </c>
      <c r="J12" s="183">
        <f aca="true" t="shared" si="3" ref="J12:J18">ROUND(G12*E12,0)</f>
        <v>0</v>
      </c>
      <c r="K12" s="152">
        <f>ROUND(J12*'RATES-Fed'!E38,0)</f>
        <v>0</v>
      </c>
      <c r="L12" s="67">
        <f aca="true" t="shared" si="4" ref="L12:L18">ROUND(K12+J12,0)</f>
        <v>0</v>
      </c>
      <c r="M12" s="183">
        <f aca="true" t="shared" si="5" ref="M12:M18">ROUND((J12*1.025),0)</f>
        <v>0</v>
      </c>
      <c r="N12" s="152">
        <f>ROUND(M12*'RATES-Fed'!G38,0)</f>
        <v>0</v>
      </c>
      <c r="O12" s="67">
        <f t="shared" si="0"/>
        <v>0</v>
      </c>
      <c r="P12" s="183">
        <f aca="true" t="shared" si="6" ref="P12:P18">ROUND((M12*1.0275),0)</f>
        <v>0</v>
      </c>
      <c r="Q12" s="152">
        <f>ROUND(P12*'RATES-Fed'!I38,0)</f>
        <v>0</v>
      </c>
      <c r="R12" s="67">
        <f aca="true" t="shared" si="7" ref="R12:R18">SUM(P12:Q12)</f>
        <v>0</v>
      </c>
      <c r="S12" s="183">
        <f aca="true" t="shared" si="8" ref="S12:S18">ROUND((P12*1.03),0)</f>
        <v>0</v>
      </c>
      <c r="T12" s="152">
        <f>ROUND(S12*'RATES-Fed'!K38,0)</f>
        <v>0</v>
      </c>
      <c r="U12" s="67">
        <f t="shared" si="1"/>
        <v>0</v>
      </c>
      <c r="V12" s="183">
        <f aca="true" t="shared" si="9" ref="V12:V18">ROUND((S12*1.03),0)</f>
        <v>0</v>
      </c>
      <c r="W12" s="152">
        <f>ROUND(V12*'RATES-Fed'!M38,0)</f>
        <v>0</v>
      </c>
      <c r="X12" s="67">
        <f t="shared" si="2"/>
        <v>0</v>
      </c>
      <c r="Y12" s="42">
        <f aca="true" t="shared" si="10" ref="Y12:Y18">SUM(L12+O12+R12+U12+X12)</f>
        <v>0</v>
      </c>
      <c r="Z12" s="1"/>
    </row>
    <row r="13" spans="1:26" ht="15.75">
      <c r="A13" s="1"/>
      <c r="B13" s="1" t="s">
        <v>15</v>
      </c>
      <c r="C13" s="3"/>
      <c r="D13" s="136" t="s">
        <v>125</v>
      </c>
      <c r="E13" s="70">
        <v>0</v>
      </c>
      <c r="F13" s="95">
        <f aca="true" t="shared" si="11" ref="F13:F18">IF(D13="CAL",(52*E13/4.3333),(IF(D13="ACAD",(36.35*E13/4.33333),IF(D13="SUMR",(15.65*E13/4.33333),IF(D13="PT",(0),0)))))</f>
        <v>0</v>
      </c>
      <c r="G13" s="69">
        <v>0</v>
      </c>
      <c r="J13" s="183">
        <f t="shared" si="3"/>
        <v>0</v>
      </c>
      <c r="K13" s="152">
        <f>ROUND(J13*'RATES-Fed'!E38,0)</f>
        <v>0</v>
      </c>
      <c r="L13" s="67">
        <f t="shared" si="4"/>
        <v>0</v>
      </c>
      <c r="M13" s="183">
        <f t="shared" si="5"/>
        <v>0</v>
      </c>
      <c r="N13" s="152">
        <f>ROUND(M13*'RATES-Fed'!G38,0)</f>
        <v>0</v>
      </c>
      <c r="O13" s="67">
        <f t="shared" si="0"/>
        <v>0</v>
      </c>
      <c r="P13" s="183">
        <f t="shared" si="6"/>
        <v>0</v>
      </c>
      <c r="Q13" s="152">
        <f>ROUND(P13*'RATES-Fed'!I38,0)</f>
        <v>0</v>
      </c>
      <c r="R13" s="67">
        <f t="shared" si="7"/>
        <v>0</v>
      </c>
      <c r="S13" s="183">
        <f t="shared" si="8"/>
        <v>0</v>
      </c>
      <c r="T13" s="152">
        <f>ROUND(S13*'RATES-Fed'!K38,0)</f>
        <v>0</v>
      </c>
      <c r="U13" s="67">
        <f t="shared" si="1"/>
        <v>0</v>
      </c>
      <c r="V13" s="183">
        <f t="shared" si="9"/>
        <v>0</v>
      </c>
      <c r="W13" s="152">
        <f>ROUND(V13*'RATES-Fed'!M38,0)</f>
        <v>0</v>
      </c>
      <c r="X13" s="67">
        <f t="shared" si="2"/>
        <v>0</v>
      </c>
      <c r="Y13" s="42">
        <f t="shared" si="10"/>
        <v>0</v>
      </c>
      <c r="Z13" s="1"/>
    </row>
    <row r="14" spans="1:25" ht="15.75">
      <c r="A14" s="1"/>
      <c r="B14" s="1"/>
      <c r="C14" s="3"/>
      <c r="D14" s="136" t="str">
        <f>IF(D13="ACAD",("SUMR"),"")</f>
        <v>SUMR</v>
      </c>
      <c r="E14" s="70">
        <v>0</v>
      </c>
      <c r="F14" s="95">
        <f t="shared" si="11"/>
        <v>0</v>
      </c>
      <c r="G14" s="69">
        <f>+G13*0.4375</f>
        <v>0</v>
      </c>
      <c r="J14" s="183">
        <f t="shared" si="3"/>
        <v>0</v>
      </c>
      <c r="K14" s="152">
        <f>ROUND(J14*'RATES-Fed'!E38,0)</f>
        <v>0</v>
      </c>
      <c r="L14" s="67">
        <f t="shared" si="4"/>
        <v>0</v>
      </c>
      <c r="M14" s="183">
        <f t="shared" si="5"/>
        <v>0</v>
      </c>
      <c r="N14" s="152">
        <f>ROUND(M14*'RATES-Fed'!G38,0)</f>
        <v>0</v>
      </c>
      <c r="O14" s="67">
        <f t="shared" si="0"/>
        <v>0</v>
      </c>
      <c r="P14" s="183">
        <f t="shared" si="6"/>
        <v>0</v>
      </c>
      <c r="Q14" s="152">
        <f>ROUND(P14*'RATES-Fed'!I38,0)</f>
        <v>0</v>
      </c>
      <c r="R14" s="67">
        <f t="shared" si="7"/>
        <v>0</v>
      </c>
      <c r="S14" s="183">
        <f t="shared" si="8"/>
        <v>0</v>
      </c>
      <c r="T14" s="152">
        <f>ROUND(S14*'RATES-Fed'!K38,0)</f>
        <v>0</v>
      </c>
      <c r="U14" s="67">
        <f t="shared" si="1"/>
        <v>0</v>
      </c>
      <c r="V14" s="183">
        <f t="shared" si="9"/>
        <v>0</v>
      </c>
      <c r="W14" s="152">
        <f>ROUND(V14*'RATES-Fed'!M38,0)</f>
        <v>0</v>
      </c>
      <c r="X14" s="67">
        <f t="shared" si="2"/>
        <v>0</v>
      </c>
      <c r="Y14" s="42">
        <f t="shared" si="10"/>
        <v>0</v>
      </c>
    </row>
    <row r="15" spans="1:26" ht="15.75">
      <c r="A15" s="1"/>
      <c r="B15" s="1" t="s">
        <v>15</v>
      </c>
      <c r="C15" s="3"/>
      <c r="D15" s="136" t="s">
        <v>125</v>
      </c>
      <c r="E15" s="70">
        <v>0</v>
      </c>
      <c r="F15" s="95">
        <f t="shared" si="11"/>
        <v>0</v>
      </c>
      <c r="G15" s="69">
        <v>0</v>
      </c>
      <c r="J15" s="183">
        <f t="shared" si="3"/>
        <v>0</v>
      </c>
      <c r="K15" s="152">
        <f>ROUND(J15*'RATES-Fed'!E38,0)</f>
        <v>0</v>
      </c>
      <c r="L15" s="67">
        <f t="shared" si="4"/>
        <v>0</v>
      </c>
      <c r="M15" s="183">
        <f t="shared" si="5"/>
        <v>0</v>
      </c>
      <c r="N15" s="152">
        <f>ROUND(M15*'RATES-Fed'!G38,0)</f>
        <v>0</v>
      </c>
      <c r="O15" s="67">
        <f t="shared" si="0"/>
        <v>0</v>
      </c>
      <c r="P15" s="183">
        <f t="shared" si="6"/>
        <v>0</v>
      </c>
      <c r="Q15" s="152">
        <f>ROUND(P15*'RATES-Fed'!I38,0)</f>
        <v>0</v>
      </c>
      <c r="R15" s="67">
        <f t="shared" si="7"/>
        <v>0</v>
      </c>
      <c r="S15" s="183">
        <f t="shared" si="8"/>
        <v>0</v>
      </c>
      <c r="T15" s="152">
        <f>ROUND(S15*'RATES-Fed'!K38,0)</f>
        <v>0</v>
      </c>
      <c r="U15" s="67">
        <f t="shared" si="1"/>
        <v>0</v>
      </c>
      <c r="V15" s="183">
        <f t="shared" si="9"/>
        <v>0</v>
      </c>
      <c r="W15" s="152">
        <f>ROUND(V15*'RATES-Fed'!M38,0)</f>
        <v>0</v>
      </c>
      <c r="X15" s="67">
        <f t="shared" si="2"/>
        <v>0</v>
      </c>
      <c r="Y15" s="42">
        <f t="shared" si="10"/>
        <v>0</v>
      </c>
      <c r="Z15" s="1"/>
    </row>
    <row r="16" spans="1:25" ht="15.75">
      <c r="A16" s="1"/>
      <c r="B16" s="1"/>
      <c r="C16" s="3"/>
      <c r="D16" s="136" t="str">
        <f>IF(D15="ACAD",("SUMR"),"")</f>
        <v>SUMR</v>
      </c>
      <c r="E16" s="70">
        <v>0</v>
      </c>
      <c r="F16" s="95">
        <f t="shared" si="11"/>
        <v>0</v>
      </c>
      <c r="G16" s="69">
        <f>+G15*0.4375</f>
        <v>0</v>
      </c>
      <c r="J16" s="183">
        <f t="shared" si="3"/>
        <v>0</v>
      </c>
      <c r="K16" s="152">
        <f>ROUND(J16*'RATES-Fed'!E38,0)</f>
        <v>0</v>
      </c>
      <c r="L16" s="67">
        <f t="shared" si="4"/>
        <v>0</v>
      </c>
      <c r="M16" s="183">
        <f t="shared" si="5"/>
        <v>0</v>
      </c>
      <c r="N16" s="152">
        <f>ROUND(M16*'RATES-Fed'!G38,0)</f>
        <v>0</v>
      </c>
      <c r="O16" s="67">
        <f t="shared" si="0"/>
        <v>0</v>
      </c>
      <c r="P16" s="183">
        <f t="shared" si="6"/>
        <v>0</v>
      </c>
      <c r="Q16" s="152">
        <f>ROUND(P16*'RATES-Fed'!I38,0)</f>
        <v>0</v>
      </c>
      <c r="R16" s="67">
        <f t="shared" si="7"/>
        <v>0</v>
      </c>
      <c r="S16" s="183">
        <f t="shared" si="8"/>
        <v>0</v>
      </c>
      <c r="T16" s="152">
        <f>ROUND(S16*'RATES-Fed'!K38,0)</f>
        <v>0</v>
      </c>
      <c r="U16" s="67">
        <f t="shared" si="1"/>
        <v>0</v>
      </c>
      <c r="V16" s="183">
        <f t="shared" si="9"/>
        <v>0</v>
      </c>
      <c r="W16" s="152">
        <f>ROUND(V16*'RATES-Fed'!M38,0)</f>
        <v>0</v>
      </c>
      <c r="X16" s="67">
        <f t="shared" si="2"/>
        <v>0</v>
      </c>
      <c r="Y16" s="42">
        <f t="shared" si="10"/>
        <v>0</v>
      </c>
    </row>
    <row r="17" spans="1:26" ht="15.75">
      <c r="A17" s="1"/>
      <c r="B17" s="1" t="s">
        <v>15</v>
      </c>
      <c r="C17" s="3"/>
      <c r="D17" s="136" t="s">
        <v>124</v>
      </c>
      <c r="E17" s="70">
        <v>0</v>
      </c>
      <c r="F17" s="95">
        <f t="shared" si="11"/>
        <v>0</v>
      </c>
      <c r="G17" s="69">
        <v>0</v>
      </c>
      <c r="J17" s="183">
        <f t="shared" si="3"/>
        <v>0</v>
      </c>
      <c r="K17" s="152">
        <f>ROUND(J17*'RATES-Fed'!E38,0)</f>
        <v>0</v>
      </c>
      <c r="L17" s="273">
        <f t="shared" si="4"/>
        <v>0</v>
      </c>
      <c r="M17" s="183">
        <f t="shared" si="5"/>
        <v>0</v>
      </c>
      <c r="N17" s="274">
        <f>ROUND(M17*'RATES-Fed'!G38,0)</f>
        <v>0</v>
      </c>
      <c r="O17" s="273">
        <f t="shared" si="0"/>
        <v>0</v>
      </c>
      <c r="P17" s="183">
        <f t="shared" si="6"/>
        <v>0</v>
      </c>
      <c r="Q17" s="274">
        <f>ROUND(P17*'RATES-Fed'!I38,0)</f>
        <v>0</v>
      </c>
      <c r="R17" s="273">
        <f t="shared" si="7"/>
        <v>0</v>
      </c>
      <c r="S17" s="183">
        <f t="shared" si="8"/>
        <v>0</v>
      </c>
      <c r="T17" s="274">
        <f>ROUND(S17*'RATES-Fed'!K38,0)</f>
        <v>0</v>
      </c>
      <c r="U17" s="67">
        <f t="shared" si="1"/>
        <v>0</v>
      </c>
      <c r="V17" s="183">
        <f t="shared" si="9"/>
        <v>0</v>
      </c>
      <c r="W17" s="274">
        <f>ROUND(V17*'RATES-Fed'!M38,0)</f>
        <v>0</v>
      </c>
      <c r="X17" s="67">
        <f t="shared" si="2"/>
        <v>0</v>
      </c>
      <c r="Y17" s="42">
        <f t="shared" si="10"/>
        <v>0</v>
      </c>
      <c r="Z17" s="1"/>
    </row>
    <row r="18" spans="1:25" ht="15.75">
      <c r="A18" s="1"/>
      <c r="B18" s="1" t="s">
        <v>15</v>
      </c>
      <c r="C18" s="3"/>
      <c r="D18" s="136" t="s">
        <v>124</v>
      </c>
      <c r="E18" s="70">
        <v>0</v>
      </c>
      <c r="F18" s="95">
        <f t="shared" si="11"/>
        <v>0</v>
      </c>
      <c r="G18" s="69">
        <v>0</v>
      </c>
      <c r="J18" s="197">
        <f t="shared" si="3"/>
        <v>0</v>
      </c>
      <c r="K18" s="202">
        <f>ROUND(J18*'RATES-Fed'!E38,0)</f>
        <v>0</v>
      </c>
      <c r="L18" s="203">
        <f t="shared" si="4"/>
        <v>0</v>
      </c>
      <c r="M18" s="197">
        <f t="shared" si="5"/>
        <v>0</v>
      </c>
      <c r="N18" s="202">
        <f>ROUND(M18*'RATES-Fed'!G38,0)</f>
        <v>0</v>
      </c>
      <c r="O18" s="203">
        <f t="shared" si="0"/>
        <v>0</v>
      </c>
      <c r="P18" s="197">
        <f t="shared" si="6"/>
        <v>0</v>
      </c>
      <c r="Q18" s="202">
        <f>ROUND(P18*'RATES-Fed'!I38,0)</f>
        <v>0</v>
      </c>
      <c r="R18" s="203">
        <f t="shared" si="7"/>
        <v>0</v>
      </c>
      <c r="S18" s="197">
        <f t="shared" si="8"/>
        <v>0</v>
      </c>
      <c r="T18" s="202">
        <f>ROUND(S18*'RATES-Fed'!K38,0)</f>
        <v>0</v>
      </c>
      <c r="U18" s="203">
        <f t="shared" si="1"/>
        <v>0</v>
      </c>
      <c r="V18" s="197">
        <f t="shared" si="9"/>
        <v>0</v>
      </c>
      <c r="W18" s="202">
        <f>ROUND(V18*'RATES-Fed'!M38,0)</f>
        <v>0</v>
      </c>
      <c r="X18" s="203">
        <f t="shared" si="2"/>
        <v>0</v>
      </c>
      <c r="Y18" s="200">
        <f t="shared" si="10"/>
        <v>0</v>
      </c>
    </row>
    <row r="19" spans="1:26" ht="15.75">
      <c r="A19" s="1"/>
      <c r="B19" s="1"/>
      <c r="C19" s="1"/>
      <c r="D19" s="25" t="s">
        <v>16</v>
      </c>
      <c r="E19" s="26"/>
      <c r="F19" s="26"/>
      <c r="G19" s="1"/>
      <c r="H19" s="1"/>
      <c r="I19" s="1"/>
      <c r="J19" s="201">
        <f aca="true" t="shared" si="12" ref="J19:U19">SUM(J11:J18)</f>
        <v>0</v>
      </c>
      <c r="K19" s="153">
        <f t="shared" si="12"/>
        <v>0</v>
      </c>
      <c r="L19" s="46">
        <f t="shared" si="12"/>
        <v>0</v>
      </c>
      <c r="M19" s="201">
        <f t="shared" si="12"/>
        <v>0</v>
      </c>
      <c r="N19" s="153">
        <f t="shared" si="12"/>
        <v>0</v>
      </c>
      <c r="O19" s="46">
        <f t="shared" si="12"/>
        <v>0</v>
      </c>
      <c r="P19" s="201">
        <f t="shared" si="12"/>
        <v>0</v>
      </c>
      <c r="Q19" s="153">
        <f t="shared" si="12"/>
        <v>0</v>
      </c>
      <c r="R19" s="46">
        <f t="shared" si="12"/>
        <v>0</v>
      </c>
      <c r="S19" s="201">
        <f t="shared" si="12"/>
        <v>0</v>
      </c>
      <c r="T19" s="153">
        <f t="shared" si="12"/>
        <v>0</v>
      </c>
      <c r="U19" s="46">
        <f t="shared" si="12"/>
        <v>0</v>
      </c>
      <c r="V19" s="201">
        <f>SUM(V11:V18)</f>
        <v>0</v>
      </c>
      <c r="W19" s="153">
        <f>SUM(W11:W18)</f>
        <v>0</v>
      </c>
      <c r="X19" s="46">
        <f>SUM(X11:X18)</f>
        <v>0</v>
      </c>
      <c r="Y19" s="42">
        <f>SUM(Y11:Y18)</f>
        <v>0</v>
      </c>
      <c r="Z19" s="6"/>
    </row>
    <row r="20" spans="1:24" ht="15.75">
      <c r="A20" s="21" t="s">
        <v>219</v>
      </c>
      <c r="B20" s="21" t="s">
        <v>220</v>
      </c>
      <c r="C20" s="1"/>
      <c r="D20" s="25"/>
      <c r="E20" s="26"/>
      <c r="F20" s="26"/>
      <c r="G20" s="1"/>
      <c r="H20" s="1"/>
      <c r="I20" s="1"/>
      <c r="J20" s="201"/>
      <c r="K20" s="153"/>
      <c r="L20" s="46"/>
      <c r="M20" s="42"/>
      <c r="N20" s="6"/>
      <c r="O20"/>
      <c r="Q20"/>
      <c r="R20"/>
      <c r="T20"/>
      <c r="U20"/>
      <c r="V20"/>
      <c r="W20"/>
      <c r="X20"/>
    </row>
    <row r="21" spans="1:25" ht="15.75">
      <c r="A21" s="1"/>
      <c r="B21" s="1" t="s">
        <v>15</v>
      </c>
      <c r="C21" s="3"/>
      <c r="D21" s="136" t="s">
        <v>124</v>
      </c>
      <c r="E21" s="70">
        <v>0</v>
      </c>
      <c r="F21" s="95">
        <f>IF(D21="CAL",(52*E21/4.3333),(IF(D21="ACAD",(32*E21/4.33333),IF(D21="SUMR",(14*E21/4.33333),IF(D21="PT",(0),0)))))</f>
        <v>0</v>
      </c>
      <c r="G21" s="69">
        <v>0</v>
      </c>
      <c r="J21" s="183">
        <f>ROUND(G21*E21,0)</f>
        <v>0</v>
      </c>
      <c r="K21" s="152">
        <f>ROUND(J21*'RATES-Fed'!E40,0)</f>
        <v>0</v>
      </c>
      <c r="L21" s="67">
        <f>ROUND(K21+J21,0)</f>
        <v>0</v>
      </c>
      <c r="M21" s="183">
        <f>ROUND((J21*1.02),0)</f>
        <v>0</v>
      </c>
      <c r="N21" s="152">
        <f>ROUND(M21*'RATES-Fed'!G40,0)</f>
        <v>0</v>
      </c>
      <c r="O21" s="67">
        <f>ROUND(M21+N21,0)</f>
        <v>0</v>
      </c>
      <c r="P21" s="183">
        <f>ROUND((M21*1.02),0)</f>
        <v>0</v>
      </c>
      <c r="Q21" s="152">
        <f>ROUND(P21*'RATES-Fed'!I40,0)</f>
        <v>0</v>
      </c>
      <c r="R21" s="67">
        <f>ROUND(P21+Q21,0)</f>
        <v>0</v>
      </c>
      <c r="S21" s="183">
        <f>ROUND((P21*1.02),0)</f>
        <v>0</v>
      </c>
      <c r="T21" s="152">
        <f>ROUND(S21*'RATES-Fed'!K40,0)</f>
        <v>0</v>
      </c>
      <c r="U21" s="76">
        <f>SUM(S21:T21)</f>
        <v>0</v>
      </c>
      <c r="V21" s="183">
        <f>ROUND((S21*1.02),0)</f>
        <v>0</v>
      </c>
      <c r="W21" s="152">
        <f>ROUND(V21*'RATES-Fed'!M40,0)</f>
        <v>0</v>
      </c>
      <c r="X21" s="76">
        <f>SUM(V21:W21)</f>
        <v>0</v>
      </c>
      <c r="Y21" s="42">
        <f>SUM(L21+O21+R21+U21+X21)</f>
        <v>0</v>
      </c>
    </row>
    <row r="22" spans="1:25" ht="15.75">
      <c r="A22" s="1"/>
      <c r="B22" s="1" t="s">
        <v>15</v>
      </c>
      <c r="C22" s="3"/>
      <c r="D22" s="136" t="s">
        <v>124</v>
      </c>
      <c r="E22" s="70">
        <v>0</v>
      </c>
      <c r="F22" s="95">
        <f>IF(D22="CAL",(52*E22/4.3333),(IF(D22="ACAD",(32*E22/4.33333),IF(D22="SUMR",(14*E22/4.33333),IF(D22="PT",(0),0)))))</f>
        <v>0</v>
      </c>
      <c r="G22" s="69">
        <v>0</v>
      </c>
      <c r="J22" s="183">
        <f>ROUND(G22*E22,0)</f>
        <v>0</v>
      </c>
      <c r="K22" s="152">
        <f>ROUND(J22*'RATES-Fed'!E40,0)</f>
        <v>0</v>
      </c>
      <c r="L22" s="67">
        <f>ROUND(K22+J22,0)</f>
        <v>0</v>
      </c>
      <c r="M22" s="183">
        <f>ROUND((J22*1.02),0)</f>
        <v>0</v>
      </c>
      <c r="N22" s="152">
        <f>ROUND(M22*'RATES-Fed'!G40,0)</f>
        <v>0</v>
      </c>
      <c r="O22" s="67">
        <f>ROUND(M22+N22,0)</f>
        <v>0</v>
      </c>
      <c r="P22" s="183">
        <f>ROUND((M22*1.02),0)</f>
        <v>0</v>
      </c>
      <c r="Q22" s="152">
        <f>ROUND(P22*'RATES-Fed'!I40,0)</f>
        <v>0</v>
      </c>
      <c r="R22" s="67">
        <f>ROUND(P22+Q22,0)</f>
        <v>0</v>
      </c>
      <c r="S22" s="183">
        <f>ROUND((P22*1.02),0)</f>
        <v>0</v>
      </c>
      <c r="T22" s="152">
        <f>ROUND(S22*'RATES-Fed'!K40,0)</f>
        <v>0</v>
      </c>
      <c r="U22" s="76">
        <f>SUM(S22:T22)</f>
        <v>0</v>
      </c>
      <c r="V22" s="183">
        <f>ROUND((S22*1.02),0)</f>
        <v>0</v>
      </c>
      <c r="W22" s="152">
        <f>ROUND(V22*'RATES-Fed'!M40,0)</f>
        <v>0</v>
      </c>
      <c r="X22" s="76">
        <f>SUM(V22:W22)</f>
        <v>0</v>
      </c>
      <c r="Y22" s="42">
        <f>SUM(L22+O22+R22+U22+X22)</f>
        <v>0</v>
      </c>
    </row>
    <row r="23" spans="1:25" ht="15.75">
      <c r="A23" s="1"/>
      <c r="B23" s="1" t="s">
        <v>15</v>
      </c>
      <c r="C23" s="3"/>
      <c r="D23" s="136" t="s">
        <v>124</v>
      </c>
      <c r="E23" s="70">
        <v>0</v>
      </c>
      <c r="F23" s="95">
        <f>IF(D23="CAL",(52*E23/4.3333),(IF(D23="ACAD",(32*E23/4.33333),IF(D23="SUMR",(14*E23/4.33333),IF(D23="PT",(0),0)))))</f>
        <v>0</v>
      </c>
      <c r="G23" s="69">
        <v>0</v>
      </c>
      <c r="J23" s="183">
        <f>ROUND(G23*E23,0)</f>
        <v>0</v>
      </c>
      <c r="K23" s="152">
        <f>ROUND(J23*'RATES-Fed'!E40,0)</f>
        <v>0</v>
      </c>
      <c r="L23" s="67">
        <f>ROUND(K23+J23,0)</f>
        <v>0</v>
      </c>
      <c r="M23" s="183">
        <f>ROUND((J23*1.02),0)</f>
        <v>0</v>
      </c>
      <c r="N23" s="152">
        <f>ROUND(M23*'RATES-Fed'!G40,0)</f>
        <v>0</v>
      </c>
      <c r="O23" s="67">
        <f>ROUND(M23+N23,0)</f>
        <v>0</v>
      </c>
      <c r="P23" s="183">
        <f>ROUND((M23*1.02),0)</f>
        <v>0</v>
      </c>
      <c r="Q23" s="152">
        <f>ROUND(P23*'RATES-Fed'!I40,0)</f>
        <v>0</v>
      </c>
      <c r="R23" s="67">
        <f>ROUND(P23+Q23,0)</f>
        <v>0</v>
      </c>
      <c r="S23" s="183">
        <f>ROUND((P23*1.02),0)</f>
        <v>0</v>
      </c>
      <c r="T23" s="152">
        <f>ROUND(S23*'RATES-Fed'!K40,0)</f>
        <v>0</v>
      </c>
      <c r="U23" s="76">
        <f>SUM(S23:T23)</f>
        <v>0</v>
      </c>
      <c r="V23" s="183">
        <f>ROUND((S23*1.02),0)</f>
        <v>0</v>
      </c>
      <c r="W23" s="152">
        <f>ROUND(V23*'RATES-Fed'!M40,0)</f>
        <v>0</v>
      </c>
      <c r="X23" s="76">
        <f>SUM(V23:W23)</f>
        <v>0</v>
      </c>
      <c r="Y23" s="42">
        <f>SUM(L23+O23+R23+U23+X23)</f>
        <v>0</v>
      </c>
    </row>
    <row r="24" spans="1:25" ht="15.75">
      <c r="A24" s="1"/>
      <c r="B24" s="1" t="s">
        <v>15</v>
      </c>
      <c r="C24" s="3"/>
      <c r="D24" s="136" t="s">
        <v>124</v>
      </c>
      <c r="E24" s="70">
        <v>0</v>
      </c>
      <c r="F24" s="95">
        <f>IF(D24="CAL",(52*E24/4.3333),(IF(D24="ACAD",(32*E24/4.33333),IF(D24="SUMR",(14*E24/4.33333),IF(D24="PT",(0),0)))))</f>
        <v>0</v>
      </c>
      <c r="G24" s="69">
        <v>0</v>
      </c>
      <c r="J24" s="183">
        <f>ROUND(G24*E24,0)</f>
        <v>0</v>
      </c>
      <c r="K24" s="202">
        <f>ROUND(J24*'RATES-Fed'!E40,0)</f>
        <v>0</v>
      </c>
      <c r="L24" s="203">
        <f>ROUND(K24+J24,0)</f>
        <v>0</v>
      </c>
      <c r="M24" s="197">
        <f>ROUND((J24*1.02),0)</f>
        <v>0</v>
      </c>
      <c r="N24" s="202">
        <f>ROUND(M24*'RATES-Fed'!G40,0)</f>
        <v>0</v>
      </c>
      <c r="O24" s="203">
        <f>ROUND(M24+N24,0)</f>
        <v>0</v>
      </c>
      <c r="P24" s="197">
        <f>ROUND((M24*1.02),0)</f>
        <v>0</v>
      </c>
      <c r="Q24" s="202">
        <f>ROUND(P24*'RATES-Fed'!I40,0)</f>
        <v>0</v>
      </c>
      <c r="R24" s="203">
        <f>ROUND(P24+Q24,0)</f>
        <v>0</v>
      </c>
      <c r="S24" s="197">
        <f>ROUND((P24*1.02),0)</f>
        <v>0</v>
      </c>
      <c r="T24" s="202">
        <f>ROUND(S24*'RATES-Fed'!K40,0)</f>
        <v>0</v>
      </c>
      <c r="U24" s="275">
        <f>SUM(S24:T24)</f>
        <v>0</v>
      </c>
      <c r="V24" s="197">
        <f>ROUND((S24*1.02),0)</f>
        <v>0</v>
      </c>
      <c r="W24" s="202">
        <f>ROUND(V24*'RATES-Fed'!M40,0)</f>
        <v>0</v>
      </c>
      <c r="X24" s="275">
        <f>SUM(V24:W24)</f>
        <v>0</v>
      </c>
      <c r="Y24" s="200">
        <f>SUM(L24+O24+R24+U24+X24)</f>
        <v>0</v>
      </c>
    </row>
    <row r="25" spans="1:25" ht="15.75">
      <c r="A25" s="1"/>
      <c r="B25" s="1"/>
      <c r="C25" s="1"/>
      <c r="D25" s="25" t="s">
        <v>224</v>
      </c>
      <c r="E25" s="26"/>
      <c r="F25" s="26"/>
      <c r="G25" s="1"/>
      <c r="H25" s="1"/>
      <c r="I25" s="1"/>
      <c r="J25" s="187">
        <f aca="true" t="shared" si="13" ref="J25:T25">SUM(J21:J24)</f>
        <v>0</v>
      </c>
      <c r="K25" s="153">
        <f t="shared" si="13"/>
        <v>0</v>
      </c>
      <c r="L25" s="46">
        <f t="shared" si="13"/>
        <v>0</v>
      </c>
      <c r="M25" s="76">
        <f t="shared" si="13"/>
        <v>0</v>
      </c>
      <c r="N25" s="6">
        <f t="shared" si="13"/>
        <v>0</v>
      </c>
      <c r="O25" s="76">
        <f t="shared" si="13"/>
        <v>0</v>
      </c>
      <c r="P25" s="42">
        <f t="shared" si="13"/>
        <v>0</v>
      </c>
      <c r="Q25" s="42">
        <f t="shared" si="13"/>
        <v>0</v>
      </c>
      <c r="R25" s="76">
        <f t="shared" si="13"/>
        <v>0</v>
      </c>
      <c r="S25" s="42">
        <f t="shared" si="13"/>
        <v>0</v>
      </c>
      <c r="T25" s="42">
        <f t="shared" si="13"/>
        <v>0</v>
      </c>
      <c r="U25" s="76">
        <f>SUM(U21:U24)</f>
        <v>0</v>
      </c>
      <c r="V25" s="42">
        <f>SUM(V21:V24)</f>
        <v>0</v>
      </c>
      <c r="W25" s="42">
        <f>SUM(W21:W24)</f>
        <v>0</v>
      </c>
      <c r="X25" s="76">
        <f>SUM(X21:X24)</f>
        <v>0</v>
      </c>
      <c r="Y25" s="42">
        <f>SUM(Y21:Y24)</f>
        <v>0</v>
      </c>
    </row>
    <row r="26" spans="1:25" ht="7.5" customHeight="1">
      <c r="A26" s="1"/>
      <c r="B26" s="1"/>
      <c r="C26" s="1"/>
      <c r="D26" s="26"/>
      <c r="E26" s="26"/>
      <c r="F26" s="26"/>
      <c r="G26" s="1"/>
      <c r="H26" s="1"/>
      <c r="I26" s="1"/>
      <c r="J26" s="188"/>
      <c r="K26" s="153"/>
      <c r="L26" s="46"/>
      <c r="M26" s="182"/>
      <c r="N26" s="153"/>
      <c r="O26" s="46"/>
      <c r="P26" s="182"/>
      <c r="Q26" s="153"/>
      <c r="R26" s="46"/>
      <c r="T26" s="6"/>
      <c r="U26"/>
      <c r="V26"/>
      <c r="W26" s="6"/>
      <c r="X26"/>
      <c r="Y26" s="42"/>
    </row>
    <row r="27" spans="1:25" ht="15.75">
      <c r="A27" s="22" t="s">
        <v>221</v>
      </c>
      <c r="B27" s="22" t="s">
        <v>17</v>
      </c>
      <c r="C27" s="1"/>
      <c r="D27" s="26"/>
      <c r="E27" s="1"/>
      <c r="F27" s="1"/>
      <c r="G27" s="41"/>
      <c r="H27" s="1"/>
      <c r="I27" s="1"/>
      <c r="J27" s="186"/>
      <c r="K27" s="149"/>
      <c r="L27" s="139"/>
      <c r="M27" s="186"/>
      <c r="N27" s="153"/>
      <c r="O27" s="46"/>
      <c r="P27" s="186"/>
      <c r="Q27" s="153"/>
      <c r="R27" s="46"/>
      <c r="T27" s="6"/>
      <c r="U27"/>
      <c r="V27"/>
      <c r="W27" s="6"/>
      <c r="X27"/>
      <c r="Y27" s="42"/>
    </row>
    <row r="28" spans="1:25" ht="15.75">
      <c r="A28" s="1"/>
      <c r="C28" s="13" t="s">
        <v>87</v>
      </c>
      <c r="D28" s="41" t="s">
        <v>121</v>
      </c>
      <c r="E28" s="68"/>
      <c r="F28" s="68"/>
      <c r="G28" s="59"/>
      <c r="J28" s="183"/>
      <c r="K28" s="263"/>
      <c r="L28" s="50"/>
      <c r="M28" s="183"/>
      <c r="N28" s="264"/>
      <c r="O28" s="144"/>
      <c r="P28" s="183"/>
      <c r="Q28" s="264"/>
      <c r="R28" s="144"/>
      <c r="T28" s="5"/>
      <c r="U28"/>
      <c r="V28"/>
      <c r="W28" s="5"/>
      <c r="X28"/>
      <c r="Y28" s="42"/>
    </row>
    <row r="29" spans="1:25" ht="15.75">
      <c r="A29" s="1"/>
      <c r="C29" s="13"/>
      <c r="D29" s="93"/>
      <c r="E29" s="70">
        <v>0</v>
      </c>
      <c r="F29" s="94">
        <f>SUM(52*E29/4.3333)</f>
        <v>0</v>
      </c>
      <c r="G29" s="69">
        <v>0</v>
      </c>
      <c r="J29" s="183">
        <f>ROUND(G29*E29,0)</f>
        <v>0</v>
      </c>
      <c r="K29" s="263">
        <f>ROUND(J29*'RATES-Fed'!E39,0)</f>
        <v>0</v>
      </c>
      <c r="L29" s="50">
        <f>SUM(J29:K29)</f>
        <v>0</v>
      </c>
      <c r="M29" s="183">
        <f>ROUND(J29*1.02,0)</f>
        <v>0</v>
      </c>
      <c r="N29" s="263">
        <f>ROUND(M29*'RATES-Fed'!G39,0)</f>
        <v>0</v>
      </c>
      <c r="O29" s="50">
        <f>SUM(M29:N29)</f>
        <v>0</v>
      </c>
      <c r="P29" s="183">
        <f>ROUND(M29*1.02,0)</f>
        <v>0</v>
      </c>
      <c r="Q29" s="263">
        <f>ROUND(P29*'RATES-Fed'!I39,0)</f>
        <v>0</v>
      </c>
      <c r="R29" s="50">
        <f>SUM(P29:Q29)</f>
        <v>0</v>
      </c>
      <c r="S29" s="183">
        <f>ROUND(P29*1.02,0)</f>
        <v>0</v>
      </c>
      <c r="T29" s="263">
        <f>ROUND(S29*'RATES-Fed'!K39,0)</f>
        <v>0</v>
      </c>
      <c r="U29" s="50">
        <f>SUM(S29:T29)</f>
        <v>0</v>
      </c>
      <c r="V29" s="183">
        <f>ROUND(S29*1.02,0)</f>
        <v>0</v>
      </c>
      <c r="W29" s="263">
        <f>ROUND(V29*'RATES-Fed'!M39,0)</f>
        <v>0</v>
      </c>
      <c r="X29" s="50">
        <f>SUM(V29:W29)</f>
        <v>0</v>
      </c>
      <c r="Y29" s="42">
        <f>SUM(L29+O29+R29+U29+X29)</f>
        <v>0</v>
      </c>
    </row>
    <row r="30" spans="1:25" ht="15.75">
      <c r="A30" s="1"/>
      <c r="C30" s="13"/>
      <c r="D30" s="1"/>
      <c r="E30" s="70">
        <v>0</v>
      </c>
      <c r="F30" s="94">
        <f>SUM(52*E30/4.3333)</f>
        <v>0</v>
      </c>
      <c r="G30" s="69">
        <v>0</v>
      </c>
      <c r="J30" s="183">
        <f>ROUND(G30*E30,0)</f>
        <v>0</v>
      </c>
      <c r="K30" s="263">
        <f>ROUND(J30*'RATES-Fed'!E39,0)</f>
        <v>0</v>
      </c>
      <c r="L30" s="50">
        <f>SUM(J30:K30)</f>
        <v>0</v>
      </c>
      <c r="M30" s="183">
        <f>ROUND(J30*1.02,0)</f>
        <v>0</v>
      </c>
      <c r="N30" s="263">
        <f>ROUND(M30*'RATES-Fed'!G39,0)</f>
        <v>0</v>
      </c>
      <c r="O30" s="50">
        <f>SUM(M30:N30)</f>
        <v>0</v>
      </c>
      <c r="P30" s="183">
        <f>ROUND(M30*1.02,0)</f>
        <v>0</v>
      </c>
      <c r="Q30" s="263">
        <f>ROUND(P30*'RATES-Fed'!I39,0)</f>
        <v>0</v>
      </c>
      <c r="R30" s="50">
        <f>SUM(P30:Q30)</f>
        <v>0</v>
      </c>
      <c r="S30" s="183">
        <f>ROUND(P30*1.02,0)</f>
        <v>0</v>
      </c>
      <c r="T30" s="263">
        <f>ROUND(S30*'RATES-Fed'!K39,0)</f>
        <v>0</v>
      </c>
      <c r="U30" s="50">
        <f>SUM(S30:T30)</f>
        <v>0</v>
      </c>
      <c r="V30" s="183">
        <f>ROUND(S30*1.02,0)</f>
        <v>0</v>
      </c>
      <c r="W30" s="263">
        <f>ROUND(V30*'RATES-Fed'!M39,0)</f>
        <v>0</v>
      </c>
      <c r="X30" s="50">
        <f>SUM(V30:W30)</f>
        <v>0</v>
      </c>
      <c r="Y30" s="42">
        <f>SUM(L30+O30+R30+U30+X30)</f>
        <v>0</v>
      </c>
    </row>
    <row r="31" spans="1:25" ht="15.75">
      <c r="A31" s="1"/>
      <c r="C31" s="13"/>
      <c r="D31" s="1"/>
      <c r="E31" s="70">
        <v>0</v>
      </c>
      <c r="F31" s="94">
        <f>SUM(52*E31/4.3333)</f>
        <v>0</v>
      </c>
      <c r="G31" s="69">
        <v>0</v>
      </c>
      <c r="J31" s="197">
        <f>ROUND(G31*E31,0)</f>
        <v>0</v>
      </c>
      <c r="K31" s="198">
        <f>ROUND(J31*'RATES-Fed'!E39,0)</f>
        <v>0</v>
      </c>
      <c r="L31" s="199">
        <f>SUM(J31:K31)</f>
        <v>0</v>
      </c>
      <c r="M31" s="197">
        <f>ROUND(J31*1.02,0)</f>
        <v>0</v>
      </c>
      <c r="N31" s="198">
        <f>ROUND(M31*'RATES-Fed'!G39,0)</f>
        <v>0</v>
      </c>
      <c r="O31" s="199">
        <f>SUM(M31:N31)</f>
        <v>0</v>
      </c>
      <c r="P31" s="197">
        <f>ROUND(M31*1.02,0)</f>
        <v>0</v>
      </c>
      <c r="Q31" s="198">
        <f>ROUND(P31*'RATES-Fed'!I39,0)</f>
        <v>0</v>
      </c>
      <c r="R31" s="199">
        <f>SUM(P31:Q31)</f>
        <v>0</v>
      </c>
      <c r="S31" s="197">
        <f>ROUND(P31*1.02,0)</f>
        <v>0</v>
      </c>
      <c r="T31" s="198">
        <f>ROUND(S31*'RATES-Fed'!K39,0)</f>
        <v>0</v>
      </c>
      <c r="U31" s="199">
        <f>SUM(S31:T31)</f>
        <v>0</v>
      </c>
      <c r="V31" s="197">
        <f>ROUND(S31*1.02,0)</f>
        <v>0</v>
      </c>
      <c r="W31" s="198">
        <f>ROUND(V31*'RATES-Fed'!M39,0)</f>
        <v>0</v>
      </c>
      <c r="X31" s="199">
        <f>SUM(V31:W31)</f>
        <v>0</v>
      </c>
      <c r="Y31" s="42">
        <f>SUM(L31+O31+R31+U31+X31)</f>
        <v>0</v>
      </c>
    </row>
    <row r="32" spans="1:25" ht="15.75">
      <c r="A32" s="1"/>
      <c r="C32" s="13"/>
      <c r="D32" s="1" t="s">
        <v>122</v>
      </c>
      <c r="E32" s="70"/>
      <c r="F32" s="70"/>
      <c r="G32" s="69"/>
      <c r="J32" s="189">
        <f aca="true" t="shared" si="14" ref="J32:R32">SUM(J29:J31)</f>
        <v>0</v>
      </c>
      <c r="K32" s="263">
        <f t="shared" si="14"/>
        <v>0</v>
      </c>
      <c r="L32" s="50">
        <f t="shared" si="14"/>
        <v>0</v>
      </c>
      <c r="M32" s="189">
        <f t="shared" si="14"/>
        <v>0</v>
      </c>
      <c r="N32" s="264">
        <f t="shared" si="14"/>
        <v>0</v>
      </c>
      <c r="O32" s="144">
        <f t="shared" si="14"/>
        <v>0</v>
      </c>
      <c r="P32" s="189">
        <f t="shared" si="14"/>
        <v>0</v>
      </c>
      <c r="Q32" s="264">
        <f t="shared" si="14"/>
        <v>0</v>
      </c>
      <c r="R32" s="144">
        <f t="shared" si="14"/>
        <v>0</v>
      </c>
      <c r="S32" s="189">
        <f aca="true" t="shared" si="15" ref="S32:Y32">SUM(S29:S31)</f>
        <v>0</v>
      </c>
      <c r="T32" s="264">
        <f t="shared" si="15"/>
        <v>0</v>
      </c>
      <c r="U32" s="144">
        <f t="shared" si="15"/>
        <v>0</v>
      </c>
      <c r="V32" s="189">
        <f t="shared" si="15"/>
        <v>0</v>
      </c>
      <c r="W32" s="264">
        <f t="shared" si="15"/>
        <v>0</v>
      </c>
      <c r="X32" s="144">
        <f t="shared" si="15"/>
        <v>0</v>
      </c>
      <c r="Y32" s="42">
        <f t="shared" si="15"/>
        <v>0</v>
      </c>
    </row>
    <row r="33" spans="1:25" ht="9.75" customHeight="1">
      <c r="A33" s="1"/>
      <c r="C33" s="13"/>
      <c r="D33" s="1"/>
      <c r="E33" s="70"/>
      <c r="F33" s="70"/>
      <c r="G33" s="69"/>
      <c r="J33" s="189"/>
      <c r="K33" s="263"/>
      <c r="L33" s="50"/>
      <c r="M33" s="189"/>
      <c r="N33" s="264"/>
      <c r="O33" s="144"/>
      <c r="P33" s="189"/>
      <c r="Q33" s="264"/>
      <c r="R33" s="144"/>
      <c r="T33" s="5"/>
      <c r="U33"/>
      <c r="V33"/>
      <c r="W33" s="5"/>
      <c r="X33"/>
      <c r="Y33" s="42"/>
    </row>
    <row r="34" spans="1:25" ht="15.75">
      <c r="A34" s="1"/>
      <c r="C34" s="13" t="s">
        <v>88</v>
      </c>
      <c r="D34" s="1"/>
      <c r="E34" s="70">
        <v>0</v>
      </c>
      <c r="F34" s="94">
        <f>SUM(52*E34/4.3333)</f>
        <v>0</v>
      </c>
      <c r="G34" s="69">
        <v>0</v>
      </c>
      <c r="J34" s="183">
        <f>ROUND(G34*E34,0)</f>
        <v>0</v>
      </c>
      <c r="K34" s="263">
        <f>ROUND(J34*'RATES-Fed'!E43,0)</f>
        <v>0</v>
      </c>
      <c r="L34" s="50">
        <f>SUM(J34:K34)</f>
        <v>0</v>
      </c>
      <c r="M34" s="183">
        <f>ROUND((J34*1.02),0)</f>
        <v>0</v>
      </c>
      <c r="N34" s="263">
        <f>ROUND(M34*'RATES-Fed'!G43,0)</f>
        <v>0</v>
      </c>
      <c r="O34" s="50">
        <f>SUM(M34:N34)</f>
        <v>0</v>
      </c>
      <c r="P34" s="183">
        <f>ROUND((M34*1.02),0)</f>
        <v>0</v>
      </c>
      <c r="Q34" s="263">
        <f>ROUND(P34*'RATES-Fed'!I43,0)</f>
        <v>0</v>
      </c>
      <c r="R34" s="50">
        <f>SUM(P34:Q34)</f>
        <v>0</v>
      </c>
      <c r="S34" s="183">
        <f>ROUND((P34*1.02),0)</f>
        <v>0</v>
      </c>
      <c r="T34" s="263">
        <f>ROUND(S34*'RATES-Fed'!K43,0)</f>
        <v>0</v>
      </c>
      <c r="U34" s="50">
        <f>SUM(S34:T34)</f>
        <v>0</v>
      </c>
      <c r="V34" s="183">
        <f>ROUND((S34*1.02),0)</f>
        <v>0</v>
      </c>
      <c r="W34" s="263">
        <f>ROUND(V34*'RATES-Fed'!M43,0)</f>
        <v>0</v>
      </c>
      <c r="X34" s="50">
        <f>SUM(V34:W34)</f>
        <v>0</v>
      </c>
      <c r="Y34" s="42">
        <f>SUM(L34+O34+R34+U34+X34)</f>
        <v>0</v>
      </c>
    </row>
    <row r="35" spans="1:25" ht="15.75">
      <c r="A35" s="1"/>
      <c r="C35" s="13" t="s">
        <v>18</v>
      </c>
      <c r="D35" s="1"/>
      <c r="E35" s="70">
        <v>0</v>
      </c>
      <c r="F35" s="94">
        <f>SUM(52*E35/4.3333)</f>
        <v>0</v>
      </c>
      <c r="G35" s="69">
        <v>0</v>
      </c>
      <c r="J35" s="183">
        <f>ROUND(G35*E35,0)</f>
        <v>0</v>
      </c>
      <c r="K35" s="263">
        <f>ROUND(J35*'RATES-Fed'!E42,0)</f>
        <v>0</v>
      </c>
      <c r="L35" s="50">
        <f>SUM(J35:K35)</f>
        <v>0</v>
      </c>
      <c r="M35" s="183">
        <f>ROUND((J35*1.02),0)</f>
        <v>0</v>
      </c>
      <c r="N35" s="263">
        <f>ROUND(M35*'RATES-Fed'!G42,0)</f>
        <v>0</v>
      </c>
      <c r="O35" s="50">
        <f>SUM(M35:N35)</f>
        <v>0</v>
      </c>
      <c r="P35" s="183">
        <f>ROUND((M35*1.02),0)</f>
        <v>0</v>
      </c>
      <c r="Q35" s="263">
        <f>ROUND(P35*'RATES-Fed'!I42,0)</f>
        <v>0</v>
      </c>
      <c r="R35" s="50">
        <f>SUM(P35:Q35)</f>
        <v>0</v>
      </c>
      <c r="S35" s="183">
        <f>ROUND((P35*1.02),0)</f>
        <v>0</v>
      </c>
      <c r="T35" s="263">
        <f>ROUND(S35*'RATES-Fed'!K42,0)</f>
        <v>0</v>
      </c>
      <c r="U35" s="50">
        <f>SUM(S35:T35)</f>
        <v>0</v>
      </c>
      <c r="V35" s="183">
        <f>ROUND((S35*1.02),0)</f>
        <v>0</v>
      </c>
      <c r="W35" s="263">
        <f>ROUND(V35*'RATES-Fed'!M42,0)</f>
        <v>0</v>
      </c>
      <c r="X35" s="50">
        <f>SUM(V35:W35)</f>
        <v>0</v>
      </c>
      <c r="Y35" s="42">
        <f>SUM(L35+O35+R35+U35+X35)</f>
        <v>0</v>
      </c>
    </row>
    <row r="36" spans="1:25" ht="15.75">
      <c r="A36" s="1"/>
      <c r="C36" s="13" t="s">
        <v>19</v>
      </c>
      <c r="D36" s="1"/>
      <c r="E36" s="70">
        <v>0</v>
      </c>
      <c r="F36" s="94">
        <f>SUM(52*E36/4.3333)</f>
        <v>0</v>
      </c>
      <c r="G36" s="69">
        <v>0</v>
      </c>
      <c r="J36" s="183">
        <f>ROUND(G36*E36,0)</f>
        <v>0</v>
      </c>
      <c r="K36" s="263">
        <f>ROUND(J36*'RATES-Fed'!E42,0)</f>
        <v>0</v>
      </c>
      <c r="L36" s="50">
        <f>SUM(J36:K36)</f>
        <v>0</v>
      </c>
      <c r="M36" s="183">
        <f>ROUND((J36*1.02),0)</f>
        <v>0</v>
      </c>
      <c r="N36" s="263">
        <f>ROUND(M36*'RATES-Fed'!G42,0)</f>
        <v>0</v>
      </c>
      <c r="O36" s="50">
        <f>SUM(M36:N36)</f>
        <v>0</v>
      </c>
      <c r="P36" s="183">
        <f>ROUND((M36*1.02),0)</f>
        <v>0</v>
      </c>
      <c r="Q36" s="263">
        <f>ROUND(P36*'RATES-Fed'!I42,0)</f>
        <v>0</v>
      </c>
      <c r="R36" s="50">
        <f>SUM(P36:Q36)</f>
        <v>0</v>
      </c>
      <c r="S36" s="183">
        <f>ROUND((P36*1.02),0)</f>
        <v>0</v>
      </c>
      <c r="T36" s="263">
        <f>ROUND(S36*'RATES-Fed'!K42,0)</f>
        <v>0</v>
      </c>
      <c r="U36" s="50">
        <f>SUM(S36:T36)</f>
        <v>0</v>
      </c>
      <c r="V36" s="183">
        <f>ROUND((S36*1.02),0)</f>
        <v>0</v>
      </c>
      <c r="W36" s="263">
        <f>ROUND(V36*'RATES-Fed'!M42,0)</f>
        <v>0</v>
      </c>
      <c r="X36" s="50">
        <f>SUM(V36:W36)</f>
        <v>0</v>
      </c>
      <c r="Y36" s="42">
        <f>SUM(L36+O36+R36+U36+X36)</f>
        <v>0</v>
      </c>
    </row>
    <row r="37" spans="1:25" s="90" customFormat="1" ht="15.75">
      <c r="A37" s="139"/>
      <c r="C37" s="138" t="s">
        <v>20</v>
      </c>
      <c r="D37" s="139"/>
      <c r="E37" s="70">
        <v>0</v>
      </c>
      <c r="F37" s="94">
        <f>SUM(52*E37/4.3333)</f>
        <v>0</v>
      </c>
      <c r="G37" s="69">
        <v>0</v>
      </c>
      <c r="J37" s="183">
        <f>ROUND(G37*E37,0)</f>
        <v>0</v>
      </c>
      <c r="K37" s="263">
        <f>ROUND(J37*'RATES-Fed'!E43,0)</f>
        <v>0</v>
      </c>
      <c r="L37" s="50">
        <f>SUM(J37:K37)</f>
        <v>0</v>
      </c>
      <c r="M37" s="183">
        <f>ROUND((J37*1.02),0)</f>
        <v>0</v>
      </c>
      <c r="N37" s="263">
        <f>ROUND(M37*'RATES-Fed'!G43,0)</f>
        <v>0</v>
      </c>
      <c r="O37" s="50">
        <f>SUM(M37:N37)</f>
        <v>0</v>
      </c>
      <c r="P37" s="183">
        <f>ROUND((M37*1.02),0)</f>
        <v>0</v>
      </c>
      <c r="Q37" s="263">
        <f>ROUND(P37*'RATES-Fed'!I43,0)</f>
        <v>0</v>
      </c>
      <c r="R37" s="50">
        <f>SUM(P37:Q37)</f>
        <v>0</v>
      </c>
      <c r="S37" s="183">
        <f>ROUND((P37*1.02),0)</f>
        <v>0</v>
      </c>
      <c r="T37" s="263">
        <f>ROUND(S37*'RATES-Fed'!K43,0)</f>
        <v>0</v>
      </c>
      <c r="U37" s="50">
        <f>SUM(S37:T37)</f>
        <v>0</v>
      </c>
      <c r="V37" s="183">
        <f>ROUND((S37*1.02),0)</f>
        <v>0</v>
      </c>
      <c r="W37" s="263">
        <f>ROUND(V37*'RATES-Fed'!M43,0)</f>
        <v>0</v>
      </c>
      <c r="X37" s="50">
        <f>SUM(V37:W37)</f>
        <v>0</v>
      </c>
      <c r="Y37" s="42">
        <f>SUM(L37+O37+R37+U37+X37)</f>
        <v>0</v>
      </c>
    </row>
    <row r="38" spans="1:26" s="90" customFormat="1" ht="15.75">
      <c r="A38" s="139"/>
      <c r="C38" s="138" t="s">
        <v>89</v>
      </c>
      <c r="D38" s="139"/>
      <c r="E38" s="70">
        <v>0</v>
      </c>
      <c r="F38" s="94">
        <f>SUM(52*E38/4.3333)</f>
        <v>0</v>
      </c>
      <c r="G38" s="69">
        <v>0</v>
      </c>
      <c r="J38" s="197">
        <f>ROUND(G38*E38,0)</f>
        <v>0</v>
      </c>
      <c r="K38" s="198">
        <f>ROUND(J38*'RATES-Fed'!E41,0)</f>
        <v>0</v>
      </c>
      <c r="L38" s="199">
        <f>SUM(J38:K38)</f>
        <v>0</v>
      </c>
      <c r="M38" s="197">
        <f>ROUND((J38*1.02),0)</f>
        <v>0</v>
      </c>
      <c r="N38" s="205">
        <f>ROUND(M38*'RATES-Fed'!G41,0)</f>
        <v>0</v>
      </c>
      <c r="O38" s="199">
        <f>SUM(M38:N38)</f>
        <v>0</v>
      </c>
      <c r="P38" s="197">
        <f>ROUND((M38*1.02),0)</f>
        <v>0</v>
      </c>
      <c r="Q38" s="205">
        <f>ROUND(P38*'RATES-Fed'!I41,0)</f>
        <v>0</v>
      </c>
      <c r="R38" s="199">
        <f>SUM(P38:Q38)</f>
        <v>0</v>
      </c>
      <c r="S38" s="197">
        <f>ROUND((P38*1.02),0)</f>
        <v>0</v>
      </c>
      <c r="T38" s="205">
        <f>ROUND(S38*'RATES-Fed'!K41,0)</f>
        <v>0</v>
      </c>
      <c r="U38" s="199">
        <f>SUM(S38:T38)</f>
        <v>0</v>
      </c>
      <c r="V38" s="197">
        <f>ROUND((S38*1.02),0)</f>
        <v>0</v>
      </c>
      <c r="W38" s="205">
        <f>ROUND(V38*'RATES-Fed'!M41,0)</f>
        <v>0</v>
      </c>
      <c r="X38" s="199">
        <f>SUM(V38:W38)</f>
        <v>0</v>
      </c>
      <c r="Y38" s="42">
        <f>SUM(L38+O38+R38+U38+X38)</f>
        <v>0</v>
      </c>
      <c r="Z38" s="276"/>
    </row>
    <row r="39" spans="1:25" ht="15.75">
      <c r="A39" s="1"/>
      <c r="B39" s="1"/>
      <c r="C39" s="1"/>
      <c r="D39" s="184" t="s">
        <v>185</v>
      </c>
      <c r="E39" s="26"/>
      <c r="F39" s="26"/>
      <c r="G39" s="1"/>
      <c r="H39" s="1"/>
      <c r="I39" s="1"/>
      <c r="J39" s="204">
        <f aca="true" t="shared" si="16" ref="J39:U39">SUM(J19+J25+J32+J34+J35+J36+J37+J38)</f>
        <v>0</v>
      </c>
      <c r="K39" s="263">
        <f t="shared" si="16"/>
        <v>0</v>
      </c>
      <c r="L39" s="50">
        <f t="shared" si="16"/>
        <v>0</v>
      </c>
      <c r="M39" s="204">
        <f t="shared" si="16"/>
        <v>0</v>
      </c>
      <c r="N39" s="263">
        <f t="shared" si="16"/>
        <v>0</v>
      </c>
      <c r="O39" s="50">
        <f t="shared" si="16"/>
        <v>0</v>
      </c>
      <c r="P39" s="204">
        <f t="shared" si="16"/>
        <v>0</v>
      </c>
      <c r="Q39" s="263">
        <f t="shared" si="16"/>
        <v>0</v>
      </c>
      <c r="R39" s="50">
        <f t="shared" si="16"/>
        <v>0</v>
      </c>
      <c r="S39" s="204">
        <f t="shared" si="16"/>
        <v>0</v>
      </c>
      <c r="T39" s="263">
        <f t="shared" si="16"/>
        <v>0</v>
      </c>
      <c r="U39" s="50">
        <f t="shared" si="16"/>
        <v>0</v>
      </c>
      <c r="V39" s="204">
        <f>SUM(V19+V25+V32+V34+V35+V36+V37+V38)</f>
        <v>0</v>
      </c>
      <c r="W39" s="263">
        <f>SUM(W19+W25+W32+W34+W35+W36+W37+W38)</f>
        <v>0</v>
      </c>
      <c r="X39" s="50">
        <f>SUM(X19+X25+X32+X34+X35+X36+X37+X38)</f>
        <v>0</v>
      </c>
      <c r="Y39" s="42">
        <f>SUM(Y34:Y38)</f>
        <v>0</v>
      </c>
    </row>
    <row r="40" spans="1:26" ht="7.5" customHeight="1">
      <c r="A40" s="1"/>
      <c r="B40" s="1"/>
      <c r="C40" s="1"/>
      <c r="D40" s="26"/>
      <c r="E40" s="26"/>
      <c r="F40" s="26"/>
      <c r="G40" s="26"/>
      <c r="H40" s="26"/>
      <c r="I40" s="26"/>
      <c r="J40" s="52"/>
      <c r="K40" s="153"/>
      <c r="L40" s="172"/>
      <c r="M40" s="64"/>
      <c r="P40" s="64"/>
      <c r="Q40" s="153"/>
      <c r="R40" s="46"/>
      <c r="S40" s="64"/>
      <c r="T40" s="153"/>
      <c r="U40" s="46"/>
      <c r="V40" s="46"/>
      <c r="W40" s="46"/>
      <c r="X40" s="46"/>
      <c r="Y40" s="64" t="s">
        <v>1</v>
      </c>
      <c r="Z40" s="6"/>
    </row>
    <row r="41" spans="1:26" s="31" customFormat="1" ht="15.75">
      <c r="A41" s="40" t="s">
        <v>23</v>
      </c>
      <c r="B41" s="21"/>
      <c r="D41" s="28"/>
      <c r="E41" s="28"/>
      <c r="F41" s="28"/>
      <c r="G41" s="28"/>
      <c r="H41" s="28"/>
      <c r="I41" s="28"/>
      <c r="J41" s="47">
        <f>SUM(J39+K39)</f>
        <v>0</v>
      </c>
      <c r="K41" s="155"/>
      <c r="L41" s="174"/>
      <c r="M41" s="47">
        <f>SUM(M39+N39)</f>
        <v>0</v>
      </c>
      <c r="N41" s="155"/>
      <c r="O41" s="140"/>
      <c r="P41" s="47">
        <f>SUM(P39+Q39)</f>
        <v>0</v>
      </c>
      <c r="Q41" s="155"/>
      <c r="R41" s="140"/>
      <c r="S41" s="47">
        <f>SUM(S39+T39)</f>
        <v>0</v>
      </c>
      <c r="T41" s="155"/>
      <c r="U41" s="140"/>
      <c r="V41" s="47">
        <f>SUM(V39+W39)</f>
        <v>0</v>
      </c>
      <c r="W41" s="140"/>
      <c r="X41" s="140"/>
      <c r="Y41" s="47">
        <f>SUM(J41+M41+P41+S41+V41)</f>
        <v>0</v>
      </c>
      <c r="Z41" s="29"/>
    </row>
    <row r="42" spans="1:26" ht="8.25" customHeight="1">
      <c r="A42" s="1"/>
      <c r="B42" s="1"/>
      <c r="C42" s="28"/>
      <c r="D42" s="26"/>
      <c r="E42" s="26"/>
      <c r="F42" s="26"/>
      <c r="G42" s="26"/>
      <c r="H42" s="26"/>
      <c r="I42" s="26"/>
      <c r="J42" s="52"/>
      <c r="K42" s="153"/>
      <c r="L42" s="172"/>
      <c r="M42" s="46"/>
      <c r="N42" s="153"/>
      <c r="O42" s="46"/>
      <c r="P42" s="46"/>
      <c r="Q42" s="153"/>
      <c r="R42" s="46"/>
      <c r="S42" s="46"/>
      <c r="T42" s="153"/>
      <c r="U42" s="46"/>
      <c r="V42" s="46"/>
      <c r="W42" s="46"/>
      <c r="X42" s="46"/>
      <c r="Y42" s="46" t="s">
        <v>1</v>
      </c>
      <c r="Z42" s="6"/>
    </row>
    <row r="43" spans="1:26" ht="15.75">
      <c r="A43" s="22" t="s">
        <v>24</v>
      </c>
      <c r="B43" s="22" t="s">
        <v>25</v>
      </c>
      <c r="C43" s="21"/>
      <c r="D43" s="26"/>
      <c r="E43" s="26"/>
      <c r="F43" s="26"/>
      <c r="G43" s="26"/>
      <c r="H43" s="26"/>
      <c r="I43" s="26"/>
      <c r="J43" s="52"/>
      <c r="K43" s="153"/>
      <c r="L43" s="172"/>
      <c r="M43" s="50"/>
      <c r="N43" s="153"/>
      <c r="O43" s="46"/>
      <c r="P43" s="50"/>
      <c r="Q43" s="153"/>
      <c r="R43" s="46"/>
      <c r="S43" s="50"/>
      <c r="T43" s="153"/>
      <c r="U43" s="46"/>
      <c r="V43" s="46"/>
      <c r="W43" s="46"/>
      <c r="X43" s="46"/>
      <c r="Y43" s="50" t="s">
        <v>1</v>
      </c>
      <c r="Z43" s="6"/>
    </row>
    <row r="44" spans="1:26" ht="15.75">
      <c r="A44" s="21"/>
      <c r="B44" s="21"/>
      <c r="C44" s="10" t="s">
        <v>26</v>
      </c>
      <c r="D44" s="30"/>
      <c r="E44" s="30"/>
      <c r="F44" s="30"/>
      <c r="G44" s="30"/>
      <c r="H44" s="30"/>
      <c r="I44" s="30"/>
      <c r="J44" s="42">
        <v>0</v>
      </c>
      <c r="K44" s="153"/>
      <c r="L44" s="172"/>
      <c r="M44" s="42">
        <v>0</v>
      </c>
      <c r="N44" s="263"/>
      <c r="O44" s="50"/>
      <c r="P44" s="42">
        <v>0</v>
      </c>
      <c r="Q44" s="263"/>
      <c r="R44" s="50"/>
      <c r="S44" s="42">
        <v>0</v>
      </c>
      <c r="T44" s="263"/>
      <c r="U44" s="50"/>
      <c r="V44" s="42">
        <v>0</v>
      </c>
      <c r="W44" s="50"/>
      <c r="X44" s="50"/>
      <c r="Y44" s="42">
        <f>+J44+M44+P44+S44+V44</f>
        <v>0</v>
      </c>
      <c r="Z44" s="6"/>
    </row>
    <row r="45" spans="1:26" ht="15.75">
      <c r="A45" s="21"/>
      <c r="B45" s="21"/>
      <c r="C45" s="10" t="s">
        <v>26</v>
      </c>
      <c r="D45" s="30"/>
      <c r="E45" s="30"/>
      <c r="F45" s="30"/>
      <c r="G45" s="30"/>
      <c r="H45" s="30"/>
      <c r="I45" s="30"/>
      <c r="J45" s="42">
        <v>0</v>
      </c>
      <c r="K45" s="153"/>
      <c r="L45" s="172"/>
      <c r="M45" s="42">
        <v>0</v>
      </c>
      <c r="N45" s="263"/>
      <c r="O45" s="50"/>
      <c r="P45" s="42">
        <v>0</v>
      </c>
      <c r="Q45" s="263"/>
      <c r="R45" s="50"/>
      <c r="S45" s="42">
        <v>0</v>
      </c>
      <c r="T45" s="263"/>
      <c r="U45" s="50"/>
      <c r="V45" s="42">
        <v>0</v>
      </c>
      <c r="W45" s="50"/>
      <c r="X45" s="50"/>
      <c r="Y45" s="42">
        <f>+J45+M45+P45+S45+V45</f>
        <v>0</v>
      </c>
      <c r="Z45" s="6"/>
    </row>
    <row r="46" spans="1:26" ht="15.75">
      <c r="A46" s="21"/>
      <c r="B46" s="21"/>
      <c r="C46" s="27" t="s">
        <v>27</v>
      </c>
      <c r="D46" s="28"/>
      <c r="E46" s="28"/>
      <c r="F46" s="28"/>
      <c r="G46" s="28"/>
      <c r="H46" s="28"/>
      <c r="I46" s="28"/>
      <c r="J46" s="53">
        <f>SUM(J44:J45)</f>
        <v>0</v>
      </c>
      <c r="K46" s="156"/>
      <c r="L46" s="175"/>
      <c r="M46" s="53">
        <f>SUM(M44:M45)</f>
        <v>0</v>
      </c>
      <c r="N46" s="156"/>
      <c r="O46" s="48"/>
      <c r="P46" s="53">
        <f>SUM(P44:P45)</f>
        <v>0</v>
      </c>
      <c r="Q46" s="156"/>
      <c r="R46" s="48"/>
      <c r="S46" s="53">
        <f>SUM(S44:S45)</f>
        <v>0</v>
      </c>
      <c r="T46" s="156"/>
      <c r="U46" s="48"/>
      <c r="V46" s="53">
        <f>SUM(V44:V45)</f>
        <v>0</v>
      </c>
      <c r="W46" s="48"/>
      <c r="X46" s="48"/>
      <c r="Y46" s="53">
        <f>SUM(Y44:Y45)</f>
        <v>0</v>
      </c>
      <c r="Z46" s="29"/>
    </row>
    <row r="47" spans="1:26" ht="9" customHeight="1">
      <c r="A47" s="1"/>
      <c r="B47" s="1"/>
      <c r="C47" s="28"/>
      <c r="D47" s="26"/>
      <c r="E47" s="26"/>
      <c r="F47" s="26"/>
      <c r="G47" s="26"/>
      <c r="H47" s="26"/>
      <c r="I47" s="26"/>
      <c r="J47" s="52"/>
      <c r="K47" s="153"/>
      <c r="L47" s="172"/>
      <c r="M47" s="46"/>
      <c r="N47" s="153"/>
      <c r="O47" s="46"/>
      <c r="P47" s="46"/>
      <c r="Q47" s="153"/>
      <c r="R47" s="46"/>
      <c r="S47" s="46"/>
      <c r="T47" s="153"/>
      <c r="U47" s="46"/>
      <c r="V47" s="46"/>
      <c r="W47" s="46"/>
      <c r="X47" s="46"/>
      <c r="Y47" s="46"/>
      <c r="Z47" s="6"/>
    </row>
    <row r="48" spans="1:26" ht="15.75">
      <c r="A48" s="22" t="s">
        <v>28</v>
      </c>
      <c r="B48" s="22" t="s">
        <v>29</v>
      </c>
      <c r="C48" s="1"/>
      <c r="D48" s="21"/>
      <c r="E48" s="21"/>
      <c r="F48" s="21"/>
      <c r="G48" s="1"/>
      <c r="H48" s="1"/>
      <c r="I48" s="1"/>
      <c r="J48" s="54" t="s">
        <v>1</v>
      </c>
      <c r="K48" s="263"/>
      <c r="L48" s="173"/>
      <c r="M48" s="45" t="s">
        <v>1</v>
      </c>
      <c r="N48" s="263"/>
      <c r="O48" s="50"/>
      <c r="P48" s="45" t="s">
        <v>1</v>
      </c>
      <c r="Q48" s="263"/>
      <c r="R48" s="50"/>
      <c r="S48" s="45" t="s">
        <v>1</v>
      </c>
      <c r="T48" s="263"/>
      <c r="U48" s="50"/>
      <c r="V48" s="50"/>
      <c r="W48" s="50"/>
      <c r="X48" s="50"/>
      <c r="Y48" s="45"/>
      <c r="Z48" s="5"/>
    </row>
    <row r="49" spans="1:26" ht="15.75">
      <c r="A49" s="21"/>
      <c r="B49" s="21"/>
      <c r="C49" s="13" t="s">
        <v>30</v>
      </c>
      <c r="D49" s="10" t="s">
        <v>26</v>
      </c>
      <c r="E49" s="31"/>
      <c r="F49" s="31"/>
      <c r="J49" s="42">
        <v>0</v>
      </c>
      <c r="K49" s="263"/>
      <c r="L49" s="173"/>
      <c r="M49" s="42">
        <f>ROUND((J49*1.02),0)</f>
        <v>0</v>
      </c>
      <c r="N49" s="264"/>
      <c r="O49" s="144"/>
      <c r="P49" s="42">
        <f>ROUND((M49*1.02),0)</f>
        <v>0</v>
      </c>
      <c r="Q49" s="264"/>
      <c r="R49" s="144"/>
      <c r="S49" s="42">
        <f>ROUND((P49*1.02),0)</f>
        <v>0</v>
      </c>
      <c r="T49" s="264"/>
      <c r="U49" s="144"/>
      <c r="V49" s="42">
        <f>ROUND((S49*1.02),0)</f>
        <v>0</v>
      </c>
      <c r="W49" s="144"/>
      <c r="X49" s="144"/>
      <c r="Y49" s="42">
        <f>+J49+M49+P49+S49+V49</f>
        <v>0</v>
      </c>
      <c r="Z49" s="5"/>
    </row>
    <row r="50" spans="1:26" ht="15.75">
      <c r="A50" s="21"/>
      <c r="B50" s="21"/>
      <c r="C50" s="13" t="s">
        <v>31</v>
      </c>
      <c r="D50" s="10" t="s">
        <v>26</v>
      </c>
      <c r="E50" s="31"/>
      <c r="F50" s="31"/>
      <c r="J50" s="42">
        <v>0</v>
      </c>
      <c r="K50" s="263"/>
      <c r="L50" s="173"/>
      <c r="M50" s="42">
        <f>ROUND((J50*1.02),0)</f>
        <v>0</v>
      </c>
      <c r="N50" s="264"/>
      <c r="O50" s="144"/>
      <c r="P50" s="42">
        <f>ROUND((M50*1.02),0)</f>
        <v>0</v>
      </c>
      <c r="Q50" s="264"/>
      <c r="R50" s="144"/>
      <c r="S50" s="42">
        <f>ROUND((P50*1.02),0)</f>
        <v>0</v>
      </c>
      <c r="T50" s="264"/>
      <c r="U50" s="144"/>
      <c r="V50" s="42">
        <f>ROUND((S50*1.02),0)</f>
        <v>0</v>
      </c>
      <c r="W50" s="144"/>
      <c r="X50" s="144"/>
      <c r="Y50" s="42">
        <f>+J50+M50+P50+S50+V50</f>
        <v>0</v>
      </c>
      <c r="Z50" s="5"/>
    </row>
    <row r="51" spans="1:26" s="31" customFormat="1" ht="15.75">
      <c r="A51" s="21"/>
      <c r="B51" s="21"/>
      <c r="C51" s="27" t="s">
        <v>32</v>
      </c>
      <c r="D51" s="28"/>
      <c r="E51" s="28"/>
      <c r="F51" s="28"/>
      <c r="G51" s="28"/>
      <c r="H51" s="28"/>
      <c r="I51" s="28"/>
      <c r="J51" s="53">
        <f>SUM(J49:J50)</f>
        <v>0</v>
      </c>
      <c r="K51" s="156"/>
      <c r="L51" s="175"/>
      <c r="M51" s="55">
        <f>SUM(M49:M50)</f>
        <v>0</v>
      </c>
      <c r="N51" s="156"/>
      <c r="O51" s="48"/>
      <c r="P51" s="55">
        <f>SUM(P49:P50)</f>
        <v>0</v>
      </c>
      <c r="Q51" s="156"/>
      <c r="R51" s="48"/>
      <c r="S51" s="55">
        <f>SUM(S49:S50)</f>
        <v>0</v>
      </c>
      <c r="T51" s="156"/>
      <c r="U51" s="48"/>
      <c r="V51" s="55">
        <f>SUM(V49:V50)</f>
        <v>0</v>
      </c>
      <c r="W51" s="48"/>
      <c r="X51" s="48"/>
      <c r="Y51" s="55">
        <f>SUM(Y49:Y50)</f>
        <v>0</v>
      </c>
      <c r="Z51" s="29"/>
    </row>
    <row r="52" spans="1:26" s="31" customFormat="1" ht="15.75">
      <c r="A52" s="21"/>
      <c r="B52" s="21"/>
      <c r="C52" s="27"/>
      <c r="D52" s="28"/>
      <c r="E52" s="28"/>
      <c r="F52" s="28"/>
      <c r="G52" s="28"/>
      <c r="H52" s="28"/>
      <c r="I52" s="28"/>
      <c r="J52" s="61"/>
      <c r="K52" s="156"/>
      <c r="L52" s="175"/>
      <c r="M52" s="280"/>
      <c r="N52" s="156"/>
      <c r="O52" s="48"/>
      <c r="P52" s="280"/>
      <c r="Q52" s="156"/>
      <c r="R52" s="48"/>
      <c r="S52" s="280"/>
      <c r="T52" s="156"/>
      <c r="U52" s="48"/>
      <c r="V52" s="280"/>
      <c r="W52" s="48"/>
      <c r="X52" s="48"/>
      <c r="Y52" s="280"/>
      <c r="Z52" s="29"/>
    </row>
    <row r="53" spans="1:26" s="31" customFormat="1" ht="15.75">
      <c r="A53" s="21" t="s">
        <v>229</v>
      </c>
      <c r="B53" s="21" t="s">
        <v>230</v>
      </c>
      <c r="C53" s="27"/>
      <c r="D53" s="28"/>
      <c r="E53" s="28"/>
      <c r="F53" s="28"/>
      <c r="G53" s="28"/>
      <c r="H53" s="28"/>
      <c r="I53" s="28"/>
      <c r="J53" s="61"/>
      <c r="K53" s="156"/>
      <c r="L53" s="175"/>
      <c r="M53" s="280"/>
      <c r="N53" s="156"/>
      <c r="O53" s="48"/>
      <c r="P53" s="280"/>
      <c r="Q53" s="156"/>
      <c r="R53" s="48"/>
      <c r="S53" s="280"/>
      <c r="T53" s="156"/>
      <c r="U53" s="48"/>
      <c r="V53" s="280"/>
      <c r="W53" s="48"/>
      <c r="X53" s="48"/>
      <c r="Y53" s="280"/>
      <c r="Z53" s="29"/>
    </row>
    <row r="54" spans="1:26" s="31" customFormat="1" ht="15.75">
      <c r="A54" s="21"/>
      <c r="B54" s="21"/>
      <c r="C54" s="283" t="s">
        <v>231</v>
      </c>
      <c r="D54" s="28"/>
      <c r="E54" s="28"/>
      <c r="F54" s="28"/>
      <c r="G54" s="28"/>
      <c r="H54" s="28"/>
      <c r="I54" s="28"/>
      <c r="J54" s="61">
        <v>0</v>
      </c>
      <c r="K54" s="156"/>
      <c r="L54" s="175"/>
      <c r="M54" s="280">
        <v>0</v>
      </c>
      <c r="N54" s="156"/>
      <c r="O54" s="48"/>
      <c r="P54" s="280">
        <v>0</v>
      </c>
      <c r="Q54" s="61"/>
      <c r="R54" s="156"/>
      <c r="S54" s="280">
        <v>0</v>
      </c>
      <c r="T54" s="156"/>
      <c r="U54" s="48"/>
      <c r="V54" s="280">
        <v>0</v>
      </c>
      <c r="W54" s="48"/>
      <c r="X54" s="48"/>
      <c r="Y54" s="280">
        <f>SUM(J54:X54)</f>
        <v>0</v>
      </c>
      <c r="Z54" s="29"/>
    </row>
    <row r="55" spans="1:26" s="31" customFormat="1" ht="15.75">
      <c r="A55" s="21"/>
      <c r="B55" s="21"/>
      <c r="C55" s="283" t="s">
        <v>232</v>
      </c>
      <c r="D55" s="28"/>
      <c r="E55" s="28"/>
      <c r="F55" s="28"/>
      <c r="G55" s="28"/>
      <c r="H55" s="28"/>
      <c r="I55" s="28"/>
      <c r="J55" s="61">
        <v>0</v>
      </c>
      <c r="K55" s="156"/>
      <c r="L55" s="175"/>
      <c r="M55" s="280">
        <v>0</v>
      </c>
      <c r="N55" s="156"/>
      <c r="O55" s="48"/>
      <c r="P55" s="280">
        <v>0</v>
      </c>
      <c r="Q55" s="61"/>
      <c r="R55" s="156"/>
      <c r="S55" s="280">
        <v>0</v>
      </c>
      <c r="T55" s="156"/>
      <c r="U55" s="48"/>
      <c r="V55" s="280">
        <v>0</v>
      </c>
      <c r="W55" s="48"/>
      <c r="X55" s="48"/>
      <c r="Y55" s="280">
        <f>SUM(J55:X55)</f>
        <v>0</v>
      </c>
      <c r="Z55" s="29"/>
    </row>
    <row r="56" spans="1:26" s="31" customFormat="1" ht="15.75">
      <c r="A56" s="21"/>
      <c r="B56" s="21"/>
      <c r="C56" s="283" t="s">
        <v>233</v>
      </c>
      <c r="D56" s="28"/>
      <c r="E56" s="28"/>
      <c r="F56" s="28"/>
      <c r="G56" s="28"/>
      <c r="H56" s="28"/>
      <c r="I56" s="28"/>
      <c r="J56" s="61">
        <v>0</v>
      </c>
      <c r="K56" s="156"/>
      <c r="L56" s="175"/>
      <c r="M56" s="280">
        <v>0</v>
      </c>
      <c r="N56" s="156"/>
      <c r="O56" s="48"/>
      <c r="P56" s="280">
        <v>0</v>
      </c>
      <c r="Q56" s="61"/>
      <c r="R56" s="156"/>
      <c r="S56" s="280">
        <v>0</v>
      </c>
      <c r="T56" s="156"/>
      <c r="U56" s="48"/>
      <c r="V56" s="280">
        <v>0</v>
      </c>
      <c r="W56" s="48"/>
      <c r="X56" s="48"/>
      <c r="Y56" s="280">
        <f>SUM(J56:X56)</f>
        <v>0</v>
      </c>
      <c r="Z56" s="29"/>
    </row>
    <row r="57" spans="1:26" s="31" customFormat="1" ht="15.75">
      <c r="A57" s="21"/>
      <c r="B57" s="21"/>
      <c r="C57" s="283" t="s">
        <v>234</v>
      </c>
      <c r="D57" s="28"/>
      <c r="E57" s="28"/>
      <c r="F57" s="28"/>
      <c r="G57" s="28"/>
      <c r="H57" s="28"/>
      <c r="I57" s="28"/>
      <c r="J57" s="281">
        <v>0</v>
      </c>
      <c r="K57" s="156"/>
      <c r="L57" s="175"/>
      <c r="M57" s="282">
        <v>0</v>
      </c>
      <c r="N57" s="156"/>
      <c r="O57" s="48"/>
      <c r="P57" s="282">
        <v>0</v>
      </c>
      <c r="Q57" s="61"/>
      <c r="R57" s="156"/>
      <c r="S57" s="282">
        <v>0</v>
      </c>
      <c r="T57" s="156"/>
      <c r="U57" s="48"/>
      <c r="V57" s="282">
        <v>0</v>
      </c>
      <c r="W57" s="48"/>
      <c r="X57" s="48"/>
      <c r="Y57" s="282">
        <f>SUM(J57:X57)</f>
        <v>0</v>
      </c>
      <c r="Z57" s="29"/>
    </row>
    <row r="58" spans="1:26" s="31" customFormat="1" ht="15.75">
      <c r="A58" s="1"/>
      <c r="B58" s="1"/>
      <c r="C58" s="27" t="s">
        <v>235</v>
      </c>
      <c r="D58" s="26"/>
      <c r="E58" s="26"/>
      <c r="F58" s="26"/>
      <c r="G58" s="26"/>
      <c r="H58" s="26"/>
      <c r="I58" s="26"/>
      <c r="J58" s="52">
        <f>SUM(J54:J57)</f>
        <v>0</v>
      </c>
      <c r="K58" s="156"/>
      <c r="L58" s="175"/>
      <c r="M58" s="280">
        <f>SUM(M54:M57)</f>
        <v>0</v>
      </c>
      <c r="N58" s="156"/>
      <c r="O58" s="48"/>
      <c r="P58" s="280">
        <f>SUM(P54:P57)</f>
        <v>0</v>
      </c>
      <c r="Q58" s="52"/>
      <c r="R58" s="156"/>
      <c r="S58" s="280">
        <f>SUM(S54:S57)</f>
        <v>0</v>
      </c>
      <c r="T58" s="156"/>
      <c r="U58" s="48"/>
      <c r="V58" s="280">
        <f>SUM(V54:V57)</f>
        <v>0</v>
      </c>
      <c r="W58" s="48"/>
      <c r="X58" s="48"/>
      <c r="Y58" s="280">
        <f>SUM(Y54:Y57)</f>
        <v>0</v>
      </c>
      <c r="Z58" s="29"/>
    </row>
    <row r="59" spans="1:26" ht="10.5" customHeight="1">
      <c r="A59" s="1"/>
      <c r="B59" s="1"/>
      <c r="C59" s="28"/>
      <c r="D59" s="26"/>
      <c r="E59" s="26"/>
      <c r="F59" s="26"/>
      <c r="G59" s="26"/>
      <c r="H59" s="26"/>
      <c r="I59" s="26"/>
      <c r="J59" s="52"/>
      <c r="K59" s="153"/>
      <c r="L59" s="172"/>
      <c r="M59" s="42"/>
      <c r="N59" s="153"/>
      <c r="O59" s="46"/>
      <c r="P59" s="42"/>
      <c r="Q59" s="153"/>
      <c r="R59" s="46"/>
      <c r="S59" s="42"/>
      <c r="T59" s="153"/>
      <c r="U59" s="46"/>
      <c r="V59" s="46"/>
      <c r="W59" s="46"/>
      <c r="X59" s="46"/>
      <c r="Y59" s="42"/>
      <c r="Z59" s="6"/>
    </row>
    <row r="60" spans="1:26" ht="15.75">
      <c r="A60" s="22" t="s">
        <v>33</v>
      </c>
      <c r="B60" s="22" t="s">
        <v>34</v>
      </c>
      <c r="C60" s="21"/>
      <c r="D60" s="21"/>
      <c r="E60" s="21"/>
      <c r="F60" s="21"/>
      <c r="G60" s="1"/>
      <c r="H60" s="1"/>
      <c r="I60" s="1"/>
      <c r="J60" s="54" t="s">
        <v>1</v>
      </c>
      <c r="K60" s="263"/>
      <c r="L60" s="173"/>
      <c r="M60" s="42" t="s">
        <v>1</v>
      </c>
      <c r="N60" s="263"/>
      <c r="O60" s="50"/>
      <c r="P60" s="42" t="s">
        <v>1</v>
      </c>
      <c r="Q60" s="263"/>
      <c r="R60" s="50"/>
      <c r="S60" s="42" t="s">
        <v>1</v>
      </c>
      <c r="T60" s="263"/>
      <c r="U60" s="50"/>
      <c r="V60" s="50"/>
      <c r="W60" s="50"/>
      <c r="X60" s="50"/>
      <c r="Y60" s="42"/>
      <c r="Z60" s="5"/>
    </row>
    <row r="61" spans="1:26" ht="15.75">
      <c r="A61" s="21"/>
      <c r="B61" s="21"/>
      <c r="C61" s="13" t="s">
        <v>35</v>
      </c>
      <c r="D61" s="3"/>
      <c r="E61" s="31"/>
      <c r="F61" s="31"/>
      <c r="J61" s="42">
        <v>0</v>
      </c>
      <c r="K61" s="263"/>
      <c r="L61" s="173"/>
      <c r="M61" s="42">
        <f>ROUND((J61*1.02),0)</f>
        <v>0</v>
      </c>
      <c r="N61" s="264"/>
      <c r="O61" s="144"/>
      <c r="P61" s="42">
        <f>ROUND((M61*1.02),0)</f>
        <v>0</v>
      </c>
      <c r="Q61" s="264"/>
      <c r="R61" s="144"/>
      <c r="S61" s="42">
        <f>ROUND((P61*1.02),0)</f>
        <v>0</v>
      </c>
      <c r="T61" s="264"/>
      <c r="U61" s="144"/>
      <c r="V61" s="42">
        <f>ROUND((S61*1.02),0)</f>
        <v>0</v>
      </c>
      <c r="W61" s="144"/>
      <c r="X61" s="144"/>
      <c r="Y61" s="42">
        <f aca="true" t="shared" si="17" ref="Y61:Y71">+J61+M61+P61+S61+V61</f>
        <v>0</v>
      </c>
      <c r="Z61" s="5"/>
    </row>
    <row r="62" spans="1:26" ht="15.75">
      <c r="A62" s="21"/>
      <c r="B62" s="21"/>
      <c r="C62" s="13" t="s">
        <v>36</v>
      </c>
      <c r="D62" s="3"/>
      <c r="E62" s="31"/>
      <c r="F62" s="31"/>
      <c r="J62" s="42">
        <v>0</v>
      </c>
      <c r="K62" s="263"/>
      <c r="L62" s="173"/>
      <c r="M62" s="42">
        <f aca="true" t="shared" si="18" ref="M62:M67">ROUND((J62*1.02),0)</f>
        <v>0</v>
      </c>
      <c r="N62" s="264"/>
      <c r="O62" s="144"/>
      <c r="P62" s="42">
        <f aca="true" t="shared" si="19" ref="P62:P67">ROUND((M62*1.02),0)</f>
        <v>0</v>
      </c>
      <c r="Q62" s="264"/>
      <c r="R62" s="144"/>
      <c r="S62" s="42">
        <f aca="true" t="shared" si="20" ref="S62:S67">ROUND((P62*1.02),0)</f>
        <v>0</v>
      </c>
      <c r="T62" s="264"/>
      <c r="U62" s="144"/>
      <c r="V62" s="42">
        <f aca="true" t="shared" si="21" ref="V62:V67">ROUND((S62*1.02),0)</f>
        <v>0</v>
      </c>
      <c r="W62" s="144"/>
      <c r="X62" s="144"/>
      <c r="Y62" s="42">
        <f t="shared" si="17"/>
        <v>0</v>
      </c>
      <c r="Z62" s="5"/>
    </row>
    <row r="63" spans="1:26" ht="15.75">
      <c r="A63" s="21"/>
      <c r="B63" s="21"/>
      <c r="C63" s="13" t="s">
        <v>37</v>
      </c>
      <c r="D63" s="3"/>
      <c r="E63" s="31"/>
      <c r="F63" s="31"/>
      <c r="J63" s="42">
        <v>0</v>
      </c>
      <c r="K63" s="263"/>
      <c r="L63" s="173"/>
      <c r="M63" s="42">
        <f t="shared" si="18"/>
        <v>0</v>
      </c>
      <c r="N63" s="264"/>
      <c r="O63" s="144"/>
      <c r="P63" s="42">
        <f t="shared" si="19"/>
        <v>0</v>
      </c>
      <c r="Q63" s="165"/>
      <c r="R63" s="42"/>
      <c r="S63" s="42">
        <f t="shared" si="20"/>
        <v>0</v>
      </c>
      <c r="T63" s="165"/>
      <c r="U63" s="42"/>
      <c r="V63" s="42">
        <f t="shared" si="21"/>
        <v>0</v>
      </c>
      <c r="W63" s="42"/>
      <c r="X63" s="42"/>
      <c r="Y63" s="42">
        <f t="shared" si="17"/>
        <v>0</v>
      </c>
      <c r="Z63" s="5"/>
    </row>
    <row r="64" spans="1:26" ht="15.75">
      <c r="A64" s="21"/>
      <c r="B64" s="21"/>
      <c r="C64" s="13" t="s">
        <v>38</v>
      </c>
      <c r="D64" s="3"/>
      <c r="E64" s="31"/>
      <c r="F64" s="31"/>
      <c r="J64" s="42">
        <v>0</v>
      </c>
      <c r="K64" s="263"/>
      <c r="L64" s="173"/>
      <c r="M64" s="42">
        <f t="shared" si="18"/>
        <v>0</v>
      </c>
      <c r="N64" s="264"/>
      <c r="O64" s="144"/>
      <c r="P64" s="42">
        <f t="shared" si="19"/>
        <v>0</v>
      </c>
      <c r="Q64" s="264"/>
      <c r="R64" s="144"/>
      <c r="S64" s="42">
        <f t="shared" si="20"/>
        <v>0</v>
      </c>
      <c r="T64" s="264"/>
      <c r="U64" s="144"/>
      <c r="V64" s="42">
        <f t="shared" si="21"/>
        <v>0</v>
      </c>
      <c r="W64" s="144"/>
      <c r="X64" s="144"/>
      <c r="Y64" s="42">
        <f t="shared" si="17"/>
        <v>0</v>
      </c>
      <c r="Z64" s="5"/>
    </row>
    <row r="65" spans="1:26" ht="15.75">
      <c r="A65" s="21"/>
      <c r="B65" s="21"/>
      <c r="C65" s="227" t="s">
        <v>102</v>
      </c>
      <c r="D65" s="3"/>
      <c r="E65" s="31"/>
      <c r="F65" s="31"/>
      <c r="J65" s="42">
        <v>0</v>
      </c>
      <c r="K65" s="263"/>
      <c r="L65" s="173"/>
      <c r="M65" s="42">
        <f t="shared" si="18"/>
        <v>0</v>
      </c>
      <c r="N65" s="264"/>
      <c r="O65" s="144"/>
      <c r="P65" s="42">
        <f t="shared" si="19"/>
        <v>0</v>
      </c>
      <c r="Q65" s="264"/>
      <c r="R65" s="144"/>
      <c r="S65" s="42">
        <f t="shared" si="20"/>
        <v>0</v>
      </c>
      <c r="T65" s="264"/>
      <c r="U65" s="144"/>
      <c r="V65" s="42">
        <f t="shared" si="21"/>
        <v>0</v>
      </c>
      <c r="W65" s="144"/>
      <c r="X65" s="144"/>
      <c r="Y65" s="42">
        <f t="shared" si="17"/>
        <v>0</v>
      </c>
      <c r="Z65" s="5"/>
    </row>
    <row r="66" spans="1:26" ht="15.75">
      <c r="A66" s="21"/>
      <c r="B66" s="21"/>
      <c r="C66" s="13" t="s">
        <v>236</v>
      </c>
      <c r="D66" s="3"/>
      <c r="E66" s="31"/>
      <c r="F66" s="31"/>
      <c r="J66" s="42">
        <v>0</v>
      </c>
      <c r="K66" s="263"/>
      <c r="L66" s="173"/>
      <c r="M66" s="42">
        <f t="shared" si="18"/>
        <v>0</v>
      </c>
      <c r="N66" s="165"/>
      <c r="O66" s="42"/>
      <c r="P66" s="42">
        <f t="shared" si="19"/>
        <v>0</v>
      </c>
      <c r="Q66" s="165"/>
      <c r="R66" s="42"/>
      <c r="S66" s="42">
        <f t="shared" si="20"/>
        <v>0</v>
      </c>
      <c r="T66" s="165"/>
      <c r="U66" s="42"/>
      <c r="V66" s="42">
        <f t="shared" si="21"/>
        <v>0</v>
      </c>
      <c r="W66" s="42"/>
      <c r="X66" s="42"/>
      <c r="Y66" s="42">
        <f t="shared" si="17"/>
        <v>0</v>
      </c>
      <c r="Z66" s="5"/>
    </row>
    <row r="67" spans="1:26" ht="15.75">
      <c r="A67" s="21"/>
      <c r="B67" s="21"/>
      <c r="C67" s="13" t="s">
        <v>39</v>
      </c>
      <c r="D67" s="21"/>
      <c r="E67" s="21"/>
      <c r="F67" s="21"/>
      <c r="G67" s="1"/>
      <c r="H67" s="1"/>
      <c r="I67" s="1"/>
      <c r="J67" s="42">
        <v>0</v>
      </c>
      <c r="K67" s="263"/>
      <c r="L67" s="173"/>
      <c r="M67" s="42">
        <f t="shared" si="18"/>
        <v>0</v>
      </c>
      <c r="N67" s="165"/>
      <c r="O67" s="42"/>
      <c r="P67" s="42">
        <f t="shared" si="19"/>
        <v>0</v>
      </c>
      <c r="Q67" s="165"/>
      <c r="R67" s="42"/>
      <c r="S67" s="42">
        <f t="shared" si="20"/>
        <v>0</v>
      </c>
      <c r="T67" s="165"/>
      <c r="U67" s="42"/>
      <c r="V67" s="42">
        <f t="shared" si="21"/>
        <v>0</v>
      </c>
      <c r="W67" s="42"/>
      <c r="X67" s="42"/>
      <c r="Y67" s="42">
        <f t="shared" si="17"/>
        <v>0</v>
      </c>
      <c r="Z67" s="5"/>
    </row>
    <row r="68" spans="1:27" ht="15.75">
      <c r="A68" s="21"/>
      <c r="B68" s="21"/>
      <c r="C68" s="22" t="s">
        <v>40</v>
      </c>
      <c r="D68" s="10"/>
      <c r="E68" s="31"/>
      <c r="F68" s="31"/>
      <c r="J68" s="42">
        <v>0</v>
      </c>
      <c r="K68" s="263"/>
      <c r="L68" s="173"/>
      <c r="M68" s="42">
        <v>0</v>
      </c>
      <c r="N68" s="264"/>
      <c r="O68" s="144"/>
      <c r="P68" s="42">
        <v>0</v>
      </c>
      <c r="Q68" s="264"/>
      <c r="R68" s="144"/>
      <c r="S68" s="42">
        <v>0</v>
      </c>
      <c r="T68" s="264"/>
      <c r="U68" s="144"/>
      <c r="V68" s="42">
        <v>0</v>
      </c>
      <c r="W68" s="144"/>
      <c r="X68" s="144"/>
      <c r="Y68" s="42">
        <f t="shared" si="17"/>
        <v>0</v>
      </c>
      <c r="Z68" s="5"/>
      <c r="AA68" s="76"/>
    </row>
    <row r="69" spans="1:27" ht="15.75">
      <c r="A69" s="21"/>
      <c r="B69" s="21"/>
      <c r="C69" s="63" t="s">
        <v>41</v>
      </c>
      <c r="D69" s="10"/>
      <c r="E69" s="31"/>
      <c r="F69" s="31"/>
      <c r="J69" s="42">
        <v>0</v>
      </c>
      <c r="K69" s="263"/>
      <c r="L69" s="173"/>
      <c r="M69" s="42">
        <v>0</v>
      </c>
      <c r="N69" s="264"/>
      <c r="O69" s="144"/>
      <c r="P69" s="42">
        <v>0</v>
      </c>
      <c r="Q69" s="264"/>
      <c r="R69" s="144"/>
      <c r="S69" s="42">
        <v>0</v>
      </c>
      <c r="T69" s="264"/>
      <c r="U69" s="144"/>
      <c r="V69" s="42">
        <v>0</v>
      </c>
      <c r="W69" s="144"/>
      <c r="X69" s="144"/>
      <c r="Y69" s="42">
        <f t="shared" si="17"/>
        <v>0</v>
      </c>
      <c r="Z69" s="5"/>
      <c r="AA69" s="76"/>
    </row>
    <row r="70" spans="1:27" ht="15.75">
      <c r="A70" s="21"/>
      <c r="B70" s="21"/>
      <c r="C70" s="63" t="s">
        <v>94</v>
      </c>
      <c r="D70" s="10"/>
      <c r="E70" s="31"/>
      <c r="F70" s="31"/>
      <c r="J70" s="42">
        <v>0</v>
      </c>
      <c r="K70" s="263"/>
      <c r="L70" s="173"/>
      <c r="M70" s="42">
        <v>0</v>
      </c>
      <c r="N70" s="264"/>
      <c r="O70" s="144"/>
      <c r="P70" s="42">
        <v>0</v>
      </c>
      <c r="Q70" s="264"/>
      <c r="R70" s="144"/>
      <c r="S70" s="42">
        <v>0</v>
      </c>
      <c r="T70" s="264"/>
      <c r="U70" s="144"/>
      <c r="V70" s="42">
        <v>0</v>
      </c>
      <c r="W70" s="144"/>
      <c r="X70" s="144"/>
      <c r="Y70" s="42">
        <f t="shared" si="17"/>
        <v>0</v>
      </c>
      <c r="Z70" s="5"/>
      <c r="AA70" s="76"/>
    </row>
    <row r="71" spans="1:27" ht="15">
      <c r="A71" s="21"/>
      <c r="B71" s="21"/>
      <c r="C71" s="63" t="s">
        <v>95</v>
      </c>
      <c r="D71" s="10"/>
      <c r="E71" s="31"/>
      <c r="F71" s="31"/>
      <c r="J71" s="42">
        <v>0</v>
      </c>
      <c r="K71" s="263"/>
      <c r="L71" s="173"/>
      <c r="M71" s="42">
        <v>0</v>
      </c>
      <c r="N71" s="264"/>
      <c r="O71" s="144"/>
      <c r="P71" s="42">
        <v>0</v>
      </c>
      <c r="Q71" s="264"/>
      <c r="R71" s="144"/>
      <c r="S71" s="42">
        <v>0</v>
      </c>
      <c r="T71" s="264"/>
      <c r="U71" s="144"/>
      <c r="V71" s="42">
        <v>0</v>
      </c>
      <c r="W71" s="144"/>
      <c r="X71" s="144"/>
      <c r="Y71" s="42">
        <f t="shared" si="17"/>
        <v>0</v>
      </c>
      <c r="Z71" s="5"/>
      <c r="AA71" s="76"/>
    </row>
    <row r="72" spans="1:27" ht="15">
      <c r="A72" s="40" t="s">
        <v>42</v>
      </c>
      <c r="D72" s="28"/>
      <c r="E72" s="28"/>
      <c r="F72" s="28"/>
      <c r="G72" s="28"/>
      <c r="H72" s="28"/>
      <c r="I72" s="28"/>
      <c r="J72" s="51">
        <f>SUM(J61:J71)</f>
        <v>0</v>
      </c>
      <c r="K72" s="157"/>
      <c r="L72" s="176"/>
      <c r="M72" s="43">
        <f>SUM(M61:M71)</f>
        <v>0</v>
      </c>
      <c r="N72" s="157"/>
      <c r="O72" s="44"/>
      <c r="P72" s="43">
        <f>SUM(P61:P71)</f>
        <v>0</v>
      </c>
      <c r="Q72" s="157"/>
      <c r="R72" s="44"/>
      <c r="S72" s="43">
        <f>SUM(S61:S71)</f>
        <v>0</v>
      </c>
      <c r="T72" s="157"/>
      <c r="U72" s="44"/>
      <c r="V72" s="43">
        <f>SUM(V61:V71)</f>
        <v>0</v>
      </c>
      <c r="W72" s="44"/>
      <c r="X72" s="44"/>
      <c r="Y72" s="43">
        <f>SUM(Y61:Y71)</f>
        <v>0</v>
      </c>
      <c r="Z72" s="34"/>
      <c r="AA72" s="76"/>
    </row>
    <row r="73" spans="1:26" ht="7.5" customHeight="1">
      <c r="A73" s="21"/>
      <c r="B73" s="21"/>
      <c r="C73" s="26"/>
      <c r="D73" s="28"/>
      <c r="E73" s="28"/>
      <c r="F73" s="28"/>
      <c r="G73" s="26"/>
      <c r="H73" s="26"/>
      <c r="I73" s="26"/>
      <c r="J73" s="52"/>
      <c r="K73" s="153"/>
      <c r="L73" s="172"/>
      <c r="M73" s="46"/>
      <c r="N73" s="153"/>
      <c r="O73" s="46"/>
      <c r="P73" s="46"/>
      <c r="Q73" s="153"/>
      <c r="R73" s="46"/>
      <c r="S73" s="46"/>
      <c r="T73" s="153"/>
      <c r="U73" s="46"/>
      <c r="V73" s="46"/>
      <c r="W73" s="46"/>
      <c r="X73" s="46"/>
      <c r="Y73" s="46" t="s">
        <v>1</v>
      </c>
      <c r="Z73" s="6"/>
    </row>
    <row r="74" spans="1:26" ht="16.5">
      <c r="A74" s="28"/>
      <c r="B74" s="28"/>
      <c r="C74" s="28"/>
      <c r="D74" s="21"/>
      <c r="E74" s="32" t="s">
        <v>43</v>
      </c>
      <c r="F74" s="32"/>
      <c r="G74" s="39"/>
      <c r="H74" s="39"/>
      <c r="I74" s="39"/>
      <c r="J74" s="65">
        <f>ROUND(+J72+J51+J46+J41+J58,0)</f>
        <v>0</v>
      </c>
      <c r="K74" s="158"/>
      <c r="L74" s="177"/>
      <c r="M74" s="65">
        <f>ROUND(+M72+M51+M46+M41+M58,0)</f>
        <v>0</v>
      </c>
      <c r="N74" s="158"/>
      <c r="O74" s="65"/>
      <c r="P74" s="65">
        <f>ROUND(+P72+P51+P46+P41+P58,0)</f>
        <v>0</v>
      </c>
      <c r="Q74" s="158"/>
      <c r="R74" s="65"/>
      <c r="S74" s="65">
        <f>ROUND(+S72+S51+S46+S41+S58,0)</f>
        <v>0</v>
      </c>
      <c r="T74" s="158"/>
      <c r="U74" s="65"/>
      <c r="V74" s="65">
        <f>ROUND(+V72+V51+V46+V41+V58,0)</f>
        <v>0</v>
      </c>
      <c r="W74" s="65"/>
      <c r="X74" s="65"/>
      <c r="Y74" s="42">
        <f>+J74+M74+P74+S74+V74</f>
        <v>0</v>
      </c>
      <c r="Z74" s="34"/>
    </row>
    <row r="75" spans="1:25" ht="7.5" customHeight="1">
      <c r="A75" s="28"/>
      <c r="B75" s="28"/>
      <c r="C75" s="28"/>
      <c r="D75" s="21"/>
      <c r="E75" s="32"/>
      <c r="F75" s="32"/>
      <c r="G75" s="39"/>
      <c r="H75" s="39"/>
      <c r="I75" s="39"/>
      <c r="J75" s="66"/>
      <c r="K75" s="158"/>
      <c r="L75" s="177"/>
      <c r="M75" s="65"/>
      <c r="N75" s="166"/>
      <c r="O75" s="192"/>
      <c r="P75" s="65"/>
      <c r="Q75" s="166"/>
      <c r="R75" s="192"/>
      <c r="S75" s="65"/>
      <c r="T75" s="166"/>
      <c r="U75" s="192"/>
      <c r="V75" s="192"/>
      <c r="W75" s="192"/>
      <c r="X75" s="192"/>
      <c r="Y75" s="65"/>
    </row>
    <row r="76" spans="1:27" ht="15">
      <c r="A76" s="28"/>
      <c r="B76" s="28"/>
      <c r="C76" s="28"/>
      <c r="D76" s="21"/>
      <c r="G76" s="39"/>
      <c r="H76" s="92" t="s">
        <v>117</v>
      </c>
      <c r="I76" s="39"/>
      <c r="J76" s="74">
        <f>(IF((J68)&gt;25000,(25000),J68)+((IF((J69)&gt;25000,(25000),J69))+((IF((J70)&gt;25000,(25000),J70))+((IF((J71)&gt;25000,(25000),J71))+SUM(J74-J46-J65-J68-J69-J70-J71-J58)))))</f>
        <v>0</v>
      </c>
      <c r="K76" s="159"/>
      <c r="L76" s="178"/>
      <c r="M76" s="74">
        <f>IF(J68&gt;=(25000),0,((IF((J68+M68)&lt;=(25000),M68,(25000-J68)))))+IF(J69&gt;=(25000),0,((IF((J69+M69)&lt;=(25000),M69,(25000-J69)))))+IF(J70&gt;=(25000),0,((IF((J70+M70)&lt;=(25000),M70,(25000-J70)))))+IF(J71&gt;=(25000),0,((IF((J71+M71)&lt;=(25000),M71,(25000-J71)))))+SUM(M74-M46-M65-M68-M69-M70-M71-M58)</f>
        <v>0</v>
      </c>
      <c r="N76" s="159"/>
      <c r="O76" s="193"/>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59"/>
      <c r="R76" s="193"/>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59"/>
      <c r="U76" s="193"/>
      <c r="V76" s="74">
        <f>IF(M68&gt;=(25000),0,(((IF((J68+M68+P68)&gt;=(25000),0,((IF((J68+M68+P68+S68)&gt;=(25000),0,(IF((J68+M68+P68+S68+V68)&lt;=(25000),V68,(25000-SUM(J68+M68+P68+S68))))))))))))+IF(M69&gt;=(25000),0,(((IF((J69+M69+P69)&gt;=(25000),0,((IF((J69+M69+P69+S69)&gt;=(25000),0,(IF((J69+M69+P69+S69+V69)&lt;=(25000),V69,(25000-SUM(J69+M69+P69+S69))))))))))))+IF(M70&gt;=(25000),0,(((IF((J70+M70+P70)&gt;=(25000),0,((IF((J70+M70+P70+S70)&gt;=(25000),0,(IF((J70+M70+P70+S70+V70)&lt;=(25000),V70,(25000-SUM(J70+M70+P70+S70))))))))))))+IF(M71&gt;=(25000),0,(((IF((J70+M71+P71)&gt;=(25000),0,((IF((J71+M71+P71+S71)&gt;=(25000),0,(IF((J71+M71+P71+S71+V71)&lt;=(25000),V71,(25000-SUM(J71+M71+P71+S71))))))))))))+SUM(V74-V46-V65-V68-V69-V70-V71-V58)</f>
        <v>0</v>
      </c>
      <c r="W76" s="193"/>
      <c r="X76" s="193"/>
      <c r="Y76" s="42">
        <f>+J76+M76+P76+S76+V76</f>
        <v>0</v>
      </c>
      <c r="AA76" s="76"/>
    </row>
    <row r="77" spans="1:28" ht="15">
      <c r="A77" s="33" t="s">
        <v>116</v>
      </c>
      <c r="B77" s="1"/>
      <c r="C77" s="1"/>
      <c r="J77" s="42"/>
      <c r="K77" s="160"/>
      <c r="L77" s="179"/>
      <c r="M77" s="50"/>
      <c r="N77" s="160"/>
      <c r="O77" s="56"/>
      <c r="P77" s="50"/>
      <c r="Q77" s="160"/>
      <c r="R77" s="56"/>
      <c r="S77" s="50"/>
      <c r="T77" s="160"/>
      <c r="U77" s="56"/>
      <c r="V77" s="56"/>
      <c r="W77" s="56"/>
      <c r="X77" s="56"/>
      <c r="Y77" s="50"/>
      <c r="Z77" s="5"/>
      <c r="AB77" s="75"/>
    </row>
    <row r="78" spans="1:26" ht="15">
      <c r="A78" s="13" t="s">
        <v>119</v>
      </c>
      <c r="B78" s="1"/>
      <c r="D78" s="7">
        <f>IF(AND(($E$89)="R",($E$91)="C"),('RATES-Fed'!E46),IF(AND(($E$89)="R",($E$91)="O"),('RATES-Fed'!E51),IF(AND(($E$89)="I",($E$91)="C"),('RATES-Fed'!E47),IF(AND(($E$89)="I",($E$91)="O"),('RATES-Fed'!E52),IF(AND(($E$89)="P",($E$91)="C"),('RATES-Fed'!E48),IF(AND(($E$89)="P",($E$91)="O"),('RATES-Fed'!E53),($E$90)))))))</f>
        <v>0.6175</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f>IF(AND(($E$89)="R",($E$91)="C"),('RATES-Fed'!K46),IF(AND(($E$89)="R",($E$91)="O"),('RATES-Fed'!K51),IF(AND(($E$89)="I",($E$91)="C"),('RATES-Fed'!K47),IF(AND(($E$89)="I",($E$91)="O"),('RATES-Fed'!K52),IF(AND(($E$89)="P",($E$91)="C"),('RATES-Fed'!K48),IF(AND(($E$89)="P",($E$91)="O"),('RATES-Fed'!K53),($E$90)))))))</f>
        <v>0.62</v>
      </c>
      <c r="H78" s="7">
        <f>IF(AND(($E$89)="R",($E$91)="C"),('RATES-Fed'!I46),IF(AND(($E$89)="R",($E$91)="O"),('RATES-Fed'!I51),IF(AND(($E$89)="I",($E$91)="C"),('RATES-Fed'!I47),IF(AND(($E$89)="I",($E$91)="O"),('RATES-Fed'!I52),IF(AND(($E$89)="P",($E$91)="C"),('RATES-Fed'!I48),IF(AND(($E$89)="P",($E$91)="O"),('RATES-Fed'!I53),($E$90)))))))</f>
        <v>0.62</v>
      </c>
      <c r="J78" s="50">
        <f>ROUND(+D78*(J74-J46-J68-J69-J70-J71-J65-J58),0)</f>
        <v>0</v>
      </c>
      <c r="K78" s="263"/>
      <c r="L78" s="173"/>
      <c r="M78" s="50">
        <f>ROUND(+E78*(M74-M46-M68-M69-M70-M71-M65-M58),0)</f>
        <v>0</v>
      </c>
      <c r="N78" s="263"/>
      <c r="O78" s="50"/>
      <c r="P78" s="50">
        <f>ROUND(+F78*(P74-P46-P68-P69-P70-P71-P65-P58),0)</f>
        <v>0</v>
      </c>
      <c r="Q78" s="263"/>
      <c r="R78" s="50"/>
      <c r="S78" s="50">
        <f>ROUND(+G78*(S74-S46-S68-S69-S70-S71-S65-S58),0)</f>
        <v>0</v>
      </c>
      <c r="T78" s="263"/>
      <c r="U78" s="50"/>
      <c r="V78" s="50">
        <f>ROUND(+H78*(V74-V46-V68-V69-V70-V71-V65-V58),0)</f>
        <v>0</v>
      </c>
      <c r="W78" s="50"/>
      <c r="X78" s="50"/>
      <c r="Y78" s="42">
        <f>+J78+M78+P78+S78+V78</f>
        <v>0</v>
      </c>
      <c r="Z78" s="5"/>
    </row>
    <row r="79" spans="1:26" ht="15">
      <c r="A79" s="13" t="s">
        <v>44</v>
      </c>
      <c r="D79" s="7">
        <f aca="true" t="shared" si="22" ref="D79:H81">+D78</f>
        <v>0.6175</v>
      </c>
      <c r="E79" s="7">
        <f t="shared" si="22"/>
        <v>0.62</v>
      </c>
      <c r="F79" s="7">
        <f t="shared" si="22"/>
        <v>0.62</v>
      </c>
      <c r="G79" s="7">
        <f t="shared" si="22"/>
        <v>0.62</v>
      </c>
      <c r="H79" s="7">
        <f t="shared" si="22"/>
        <v>0.62</v>
      </c>
      <c r="J79" s="50">
        <f>(IF((J68)&gt;25000,(25000),J68)*D79)</f>
        <v>0</v>
      </c>
      <c r="K79" s="50"/>
      <c r="L79" s="50"/>
      <c r="M79" s="50">
        <f>IF(J68&gt;=(25000),0,((IF((J68+M68)&lt;=(25000),M68,(25000-J68))))*E79)</f>
        <v>0</v>
      </c>
      <c r="N79" s="263"/>
      <c r="O79" s="50"/>
      <c r="P79" s="50">
        <f>IF(J68&gt;=(25000),0,(((IF((J68+M68)&gt;=(25000),0,((IF((J68+M68+P68)&lt;=(25000),P68,(25000-SUM(J68+M68)))))))))*F79)</f>
        <v>0</v>
      </c>
      <c r="Q79" s="263"/>
      <c r="R79" s="50"/>
      <c r="S79" s="50">
        <f>IF(J68&gt;=(25000),0,(((IF((J68+M68)&gt;=(25000),0,((IF((J68+M68+P68)&gt;=(25000),0,(IF((J68+M68+P68+S68)&lt;=(25000),S68,(25000-SUM(J68+M68+P68)))))))))))*G79)</f>
        <v>0</v>
      </c>
      <c r="T79" s="263"/>
      <c r="U79" s="50"/>
      <c r="V79" s="50">
        <f>IF(M68&gt;=(25000),0,(((IF((M68+P68)&gt;=(25000),0,((IF((M68+P68+S68)&gt;=(25000),0,(IF((M68+P68+S68+V68)&lt;=(25000),V68,(25000-SUM(M68+P68+S68)))))))))))*J79)</f>
        <v>0</v>
      </c>
      <c r="W79" s="50"/>
      <c r="X79" s="50"/>
      <c r="Y79" s="42">
        <f>+J79+M79+P79+S79+V79</f>
        <v>0</v>
      </c>
      <c r="Z79" s="5"/>
    </row>
    <row r="80" spans="1:26" ht="15">
      <c r="A80" s="13" t="s">
        <v>45</v>
      </c>
      <c r="D80" s="7">
        <f t="shared" si="22"/>
        <v>0.6175</v>
      </c>
      <c r="E80" s="7">
        <f t="shared" si="22"/>
        <v>0.62</v>
      </c>
      <c r="F80" s="7">
        <f t="shared" si="22"/>
        <v>0.62</v>
      </c>
      <c r="G80" s="7">
        <f t="shared" si="22"/>
        <v>0.62</v>
      </c>
      <c r="H80" s="7">
        <f t="shared" si="22"/>
        <v>0.62</v>
      </c>
      <c r="J80" s="50">
        <f>(IF((J69)&gt;25000,(25000),J69)*D80)</f>
        <v>0</v>
      </c>
      <c r="K80" s="263"/>
      <c r="L80" s="173"/>
      <c r="M80" s="50">
        <f>IF(J69&gt;=(25000),0,((IF((J69+M69)&lt;=(25000),M69,(25000-J69))))*E80)</f>
        <v>0</v>
      </c>
      <c r="N80" s="263"/>
      <c r="O80" s="50"/>
      <c r="P80" s="50">
        <f>IF(J69&gt;=(25000),0,(((IF((J69+M69)&gt;=(25000),0,((IF((J69+M69+P69)&lt;=(25000),P69,(25000-SUM(J69+M69)))))))))*F80)</f>
        <v>0</v>
      </c>
      <c r="Q80" s="263"/>
      <c r="R80" s="50"/>
      <c r="S80" s="50">
        <f>IF(J69&gt;=(25000),0,(((IF((J69+M69)&gt;=(25000),0,((IF((J69+M69+P69)&gt;=(25000),0,(IF((J69+M69+P69+S69)&lt;=(25000),S69,(25000-SUM(J69+M69+P69)))))))))))*G80)</f>
        <v>0</v>
      </c>
      <c r="T80" s="263"/>
      <c r="U80" s="50"/>
      <c r="V80" s="50">
        <f>IF(M69&gt;=(25000),0,(((IF((M69+P69)&gt;=(25000),0,((IF((M69+P69+S69)&gt;=(25000),0,(IF((M69+P69+S69+V69)&lt;=(25000),V69,(25000-SUM(M69+P69+S69)))))))))))*J80)</f>
        <v>0</v>
      </c>
      <c r="W80" s="50"/>
      <c r="X80" s="50"/>
      <c r="Y80" s="42">
        <f>+J80+M80+P80+S80+V80</f>
        <v>0</v>
      </c>
      <c r="Z80" s="5"/>
    </row>
    <row r="81" spans="1:26" ht="15">
      <c r="A81" s="13" t="s">
        <v>92</v>
      </c>
      <c r="D81" s="7">
        <f t="shared" si="22"/>
        <v>0.6175</v>
      </c>
      <c r="E81" s="7">
        <f t="shared" si="22"/>
        <v>0.62</v>
      </c>
      <c r="F81" s="7">
        <f t="shared" si="22"/>
        <v>0.62</v>
      </c>
      <c r="G81" s="7">
        <f t="shared" si="22"/>
        <v>0.62</v>
      </c>
      <c r="H81" s="7">
        <f t="shared" si="22"/>
        <v>0.62</v>
      </c>
      <c r="J81" s="50">
        <f>(IF((J70)&gt;25000,(25000),J70)*D81)</f>
        <v>0</v>
      </c>
      <c r="K81" s="263"/>
      <c r="L81" s="173"/>
      <c r="M81" s="50">
        <f>IF(J70&gt;=(25000),0,((IF((J70+M70)&lt;=(25000),M70,(25000-J70))))*E81)</f>
        <v>0</v>
      </c>
      <c r="N81" s="263"/>
      <c r="O81" s="50"/>
      <c r="P81" s="50">
        <f>IF(J70&gt;=(25000),0,(((IF((J70+M70)&gt;=(25000),0,((IF((J70+M70+P70)&lt;=(25000),P70,(25000-SUM(J70+M70)))))))))*F81)</f>
        <v>0</v>
      </c>
      <c r="Q81" s="263"/>
      <c r="R81" s="50"/>
      <c r="S81" s="50">
        <f>IF(J70&gt;=(25000),0,(((IF((J70+M70)&gt;=(25000),0,((IF((J70+M70+P70)&gt;=(25000),0,(IF((J70+M70+P70+S70)&lt;=(25000),S70,(25000-SUM(J70+M70+P70)))))))))))*G81)</f>
        <v>0</v>
      </c>
      <c r="T81" s="263"/>
      <c r="U81" s="50"/>
      <c r="V81" s="50">
        <f>IF(M70&gt;=(25000),0,(((IF((M70+P70)&gt;=(25000),0,((IF((M70+P70+S70)&gt;=(25000),0,(IF((M70+P70+S70+V70)&lt;=(25000),V70,(25000-SUM(M70+P70+S70)))))))))))*J81)</f>
        <v>0</v>
      </c>
      <c r="W81" s="50"/>
      <c r="X81" s="50"/>
      <c r="Y81" s="42">
        <f>+J81+M81+P81+S81+V81</f>
        <v>0</v>
      </c>
      <c r="Z81" s="5"/>
    </row>
    <row r="82" spans="1:26" ht="15">
      <c r="A82" s="13" t="s">
        <v>93</v>
      </c>
      <c r="B82" s="1"/>
      <c r="C82" s="1"/>
      <c r="D82" s="7">
        <f>+D79</f>
        <v>0.6175</v>
      </c>
      <c r="E82" s="7">
        <f>+E79</f>
        <v>0.62</v>
      </c>
      <c r="F82" s="7">
        <f>+F79</f>
        <v>0.62</v>
      </c>
      <c r="G82" s="7">
        <f>+G79</f>
        <v>0.62</v>
      </c>
      <c r="H82" s="7">
        <f>+H79</f>
        <v>0.62</v>
      </c>
      <c r="J82" s="50">
        <f>(IF((J71)&gt;25000,(25000),J71)*D82)</f>
        <v>0</v>
      </c>
      <c r="K82" s="263"/>
      <c r="L82" s="173"/>
      <c r="M82" s="50">
        <f>IF(J71&gt;=(25000),0,((IF((J71+M71)&lt;=(25000),M71,(25000-J71))))*E82)</f>
        <v>0</v>
      </c>
      <c r="N82" s="263"/>
      <c r="O82" s="50"/>
      <c r="P82" s="50">
        <f>IF(J71&gt;=(25000),0,(((IF((J71+M71)&gt;=(25000),0,((IF((J71+M71+P71)&lt;=(25000),P71,(25000-SUM(J71+M71)))))))))*F82)</f>
        <v>0</v>
      </c>
      <c r="Q82" s="263"/>
      <c r="R82" s="50"/>
      <c r="S82" s="50">
        <f>IF(J71&gt;=(25000),0,(((IF((J71+M71)&gt;=(25000),0,((IF((J71+M71+P71)&gt;=(25000),0,(IF((J71+M71+P71+S71)&lt;=(25000),S71,(25000-SUM(J71+M71+P71)))))))))))*G82)</f>
        <v>0</v>
      </c>
      <c r="T82" s="263"/>
      <c r="U82" s="50"/>
      <c r="V82" s="50">
        <f>IF(M71&gt;=(25000),0,(((IF((M71+P71)&gt;=(25000),0,((IF((M71+P71+S71)&gt;=(25000),0,(IF((M71+P71+S71+V71)&lt;=(25000),V71,(25000-SUM(M71+P71+S71)))))))))))*J82)</f>
        <v>0</v>
      </c>
      <c r="W82" s="50"/>
      <c r="X82" s="50"/>
      <c r="Y82" s="42">
        <f>+J82+M82+P82+S82+V82</f>
        <v>0</v>
      </c>
      <c r="Z82" s="5"/>
    </row>
    <row r="83" spans="1:26" ht="15">
      <c r="A83" s="40" t="s">
        <v>118</v>
      </c>
      <c r="B83" s="1"/>
      <c r="C83" s="24"/>
      <c r="D83" s="35"/>
      <c r="E83" s="7"/>
      <c r="F83" s="7"/>
      <c r="G83" s="7"/>
      <c r="H83" s="7"/>
      <c r="I83" s="7"/>
      <c r="J83" s="53">
        <f>SUM(J78:J82)</f>
        <v>0</v>
      </c>
      <c r="K83" s="157"/>
      <c r="L83" s="176"/>
      <c r="M83" s="53">
        <f>SUM(M78:M82)</f>
        <v>0</v>
      </c>
      <c r="N83" s="157"/>
      <c r="O83" s="44"/>
      <c r="P83" s="53">
        <f>SUM(P78:P82)</f>
        <v>0</v>
      </c>
      <c r="Q83" s="157"/>
      <c r="R83" s="44"/>
      <c r="S83" s="53">
        <f>SUM(S78:S82)</f>
        <v>0</v>
      </c>
      <c r="T83" s="157"/>
      <c r="U83" s="44"/>
      <c r="V83" s="53">
        <f>SUM(V78:V82)</f>
        <v>0</v>
      </c>
      <c r="W83" s="44"/>
      <c r="X83" s="44"/>
      <c r="Y83" s="53">
        <f>SUM(Y78:Y82)</f>
        <v>0</v>
      </c>
      <c r="Z83" s="5"/>
    </row>
    <row r="84" spans="1:26" ht="6.75" customHeight="1">
      <c r="A84" s="40"/>
      <c r="B84" s="1"/>
      <c r="C84" s="24"/>
      <c r="D84" s="35"/>
      <c r="E84" s="7"/>
      <c r="F84" s="7"/>
      <c r="G84" s="7"/>
      <c r="H84" s="7"/>
      <c r="I84" s="7"/>
      <c r="J84" s="61"/>
      <c r="K84" s="157"/>
      <c r="L84" s="176"/>
      <c r="M84" s="62"/>
      <c r="N84" s="157"/>
      <c r="O84" s="44"/>
      <c r="P84" s="62"/>
      <c r="Q84" s="157"/>
      <c r="R84" s="44"/>
      <c r="S84" s="62"/>
      <c r="T84" s="157"/>
      <c r="U84" s="44"/>
      <c r="V84" s="44"/>
      <c r="W84" s="44"/>
      <c r="X84" s="44"/>
      <c r="Y84" s="62"/>
      <c r="Z84" s="5"/>
    </row>
    <row r="85" spans="1:26" ht="18" thickBot="1">
      <c r="A85" s="40"/>
      <c r="B85" s="1"/>
      <c r="C85" s="60" t="s">
        <v>46</v>
      </c>
      <c r="D85" s="35"/>
      <c r="E85" s="7"/>
      <c r="F85" s="7"/>
      <c r="G85" s="7"/>
      <c r="H85" s="7"/>
      <c r="I85" s="7"/>
      <c r="J85" s="72">
        <f>J83+J74</f>
        <v>0</v>
      </c>
      <c r="K85" s="158"/>
      <c r="L85" s="177"/>
      <c r="M85" s="72">
        <f>M83+M74</f>
        <v>0</v>
      </c>
      <c r="N85" s="158"/>
      <c r="O85" s="65"/>
      <c r="P85" s="72">
        <f>P83+P74</f>
        <v>0</v>
      </c>
      <c r="Q85" s="158"/>
      <c r="R85" s="65"/>
      <c r="S85" s="72">
        <f>S83+S74</f>
        <v>0</v>
      </c>
      <c r="T85" s="158"/>
      <c r="U85" s="65"/>
      <c r="V85" s="72">
        <f>V83+V74</f>
        <v>0</v>
      </c>
      <c r="W85" s="65"/>
      <c r="X85" s="65"/>
      <c r="Y85" s="72">
        <f>+J85+M85+P85+S85+V85</f>
        <v>0</v>
      </c>
      <c r="Z85" s="5"/>
    </row>
    <row r="86" spans="1:26" ht="8.25" customHeight="1" thickTop="1">
      <c r="A86" s="28"/>
      <c r="B86" s="1"/>
      <c r="C86" s="35"/>
      <c r="D86" s="7"/>
      <c r="E86" s="7"/>
      <c r="F86" s="7"/>
      <c r="G86" s="7"/>
      <c r="H86" s="7"/>
      <c r="I86" s="7"/>
      <c r="J86" s="50"/>
      <c r="K86" s="263"/>
      <c r="L86" s="173"/>
      <c r="M86" s="50"/>
      <c r="N86" s="263"/>
      <c r="O86" s="50"/>
      <c r="P86" s="50"/>
      <c r="Q86" s="263"/>
      <c r="R86" s="50"/>
      <c r="S86" s="50"/>
      <c r="T86" s="263"/>
      <c r="U86" s="50"/>
      <c r="V86" s="50"/>
      <c r="W86" s="50"/>
      <c r="X86" s="50"/>
      <c r="Y86" s="50" t="s">
        <v>1</v>
      </c>
      <c r="Z86" s="5"/>
    </row>
    <row r="87" spans="1:26" ht="9" customHeight="1">
      <c r="A87" s="1"/>
      <c r="B87" s="1"/>
      <c r="C87" s="1"/>
      <c r="D87" s="1"/>
      <c r="E87" s="1"/>
      <c r="F87" s="1"/>
      <c r="G87" s="1"/>
      <c r="H87" s="1"/>
      <c r="I87" s="1"/>
      <c r="J87" s="49"/>
      <c r="K87" s="161"/>
      <c r="L87" s="180"/>
      <c r="M87" s="58"/>
      <c r="N87" s="161"/>
      <c r="O87" s="57"/>
      <c r="P87" s="58"/>
      <c r="Q87" s="161"/>
      <c r="R87" s="57"/>
      <c r="S87" s="58"/>
      <c r="T87" s="161"/>
      <c r="U87" s="57"/>
      <c r="V87" s="57"/>
      <c r="W87" s="57"/>
      <c r="X87" s="57"/>
      <c r="Y87" s="58"/>
      <c r="Z87" s="1"/>
    </row>
    <row r="88" ht="15">
      <c r="C88" s="36" t="s">
        <v>120</v>
      </c>
    </row>
    <row r="89" spans="3:7" ht="15">
      <c r="C89" s="14" t="s">
        <v>47</v>
      </c>
      <c r="E89" s="15" t="s">
        <v>48</v>
      </c>
      <c r="G89" s="14" t="s">
        <v>49</v>
      </c>
    </row>
    <row r="90" spans="3:6" ht="15">
      <c r="C90" s="14" t="s">
        <v>177</v>
      </c>
      <c r="E90" s="9">
        <v>0.1</v>
      </c>
      <c r="F90" s="9"/>
    </row>
    <row r="91" spans="3:7" ht="15">
      <c r="C91" s="14" t="s">
        <v>50</v>
      </c>
      <c r="E91" s="168" t="s">
        <v>51</v>
      </c>
      <c r="G91" s="14" t="s">
        <v>52</v>
      </c>
    </row>
    <row r="93" spans="4:21" ht="15">
      <c r="D93" s="216" t="s">
        <v>199</v>
      </c>
      <c r="H93" s="214">
        <f>+'RATES-Fed'!E31</f>
        <v>0.605</v>
      </c>
      <c r="J93" s="213">
        <f>J83/12*'RATES-Fed'!$C$46</f>
        <v>0</v>
      </c>
      <c r="L93" s="214">
        <f>+'RATES-Fed'!G31</f>
        <v>0.62</v>
      </c>
      <c r="M93" s="213">
        <f>M83/12*'RATES-Fed'!$C$46</f>
        <v>0</v>
      </c>
      <c r="O93" s="215">
        <f>+'RATES-Fed'!I31</f>
        <v>0.62</v>
      </c>
      <c r="P93" s="213">
        <f>P83/12*'RATES-Fed'!$C$46</f>
        <v>0</v>
      </c>
      <c r="R93" s="215">
        <f>+'RATES-Fed'!K31</f>
        <v>0.62</v>
      </c>
      <c r="S93" s="213">
        <f>S83/12*'RATES-Fed'!$C$46</f>
        <v>0</v>
      </c>
      <c r="T93" s="214">
        <f>+'RATES-Fed'!M31</f>
        <v>0.62</v>
      </c>
      <c r="U93" s="213">
        <f>U83/12*'RATES-Fed'!$C$46</f>
        <v>0</v>
      </c>
    </row>
    <row r="94" spans="4:21" ht="15.75" customHeight="1">
      <c r="D94" s="307" t="s">
        <v>200</v>
      </c>
      <c r="E94" s="307"/>
      <c r="F94" s="307"/>
      <c r="G94" s="307"/>
      <c r="H94" s="214">
        <f>+'RATES-Fed'!G31</f>
        <v>0.62</v>
      </c>
      <c r="J94" s="213">
        <f>J83/12*'RATES-Fed'!$D$46</f>
        <v>0</v>
      </c>
      <c r="L94" s="214">
        <f>+'RATES-Fed'!I31</f>
        <v>0.62</v>
      </c>
      <c r="M94" s="213">
        <f>M83/12*'RATES-Fed'!$D$46</f>
        <v>0</v>
      </c>
      <c r="O94" s="215">
        <f>+'RATES-Fed'!K31</f>
        <v>0.62</v>
      </c>
      <c r="P94" s="213">
        <f>P83/12*'RATES-Fed'!$D$46</f>
        <v>0</v>
      </c>
      <c r="R94" s="215">
        <f>+'RATES-Fed'!M31</f>
        <v>0.62</v>
      </c>
      <c r="S94" s="213">
        <f>S83/12*'RATES-Fed'!$D$46</f>
        <v>0</v>
      </c>
      <c r="T94" s="214">
        <f>+'RATES-Fed'!O31</f>
        <v>0.62</v>
      </c>
      <c r="U94" s="213">
        <f>U83/12*'RATES-Fed'!$D$46</f>
        <v>0</v>
      </c>
    </row>
    <row r="95" spans="4:26" ht="17.25">
      <c r="D95" s="307"/>
      <c r="E95" s="307"/>
      <c r="F95" s="307"/>
      <c r="G95" s="307"/>
      <c r="J95" s="213">
        <f>SUM(J93:J94)</f>
        <v>0</v>
      </c>
      <c r="M95" s="213">
        <f>SUM(M93:M94)</f>
        <v>0</v>
      </c>
      <c r="P95" s="213">
        <f>SUM(P93:P94)</f>
        <v>0</v>
      </c>
      <c r="S95" s="213">
        <f>SUM(S93:S94)</f>
        <v>0</v>
      </c>
      <c r="T95" s="213"/>
      <c r="U95" s="213">
        <f>SUM(U93:U94)</f>
        <v>0</v>
      </c>
      <c r="V95" s="195"/>
      <c r="W95" s="195"/>
      <c r="X95" s="195"/>
      <c r="Y95" s="195"/>
      <c r="Z95" s="195"/>
    </row>
  </sheetData>
  <sheetProtection/>
  <mergeCells count="7">
    <mergeCell ref="V8:X8"/>
    <mergeCell ref="K4:U5"/>
    <mergeCell ref="D94:G95"/>
    <mergeCell ref="J8:L8"/>
    <mergeCell ref="M8:O8"/>
    <mergeCell ref="P8:R8"/>
    <mergeCell ref="S8:U8"/>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landscape" scale="37"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3"/>
  <sheetViews>
    <sheetView showGridLines="0" tabSelected="1" zoomScale="70" zoomScaleNormal="70" workbookViewId="0" topLeftCell="A1">
      <selection activeCell="AL22" sqref="AL22"/>
    </sheetView>
  </sheetViews>
  <sheetFormatPr defaultColWidth="9.625" defaultRowHeight="15.75"/>
  <cols>
    <col min="1" max="1" width="2.625" style="78" customWidth="1"/>
    <col min="2" max="2" width="35.375" style="78" customWidth="1"/>
    <col min="3" max="3" width="4.50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4" width="9.625" style="78" hidden="1" customWidth="1"/>
    <col min="25" max="25" width="0.6171875" style="78" hidden="1" customWidth="1"/>
    <col min="26" max="26" width="8.50390625" style="78" hidden="1" customWidth="1"/>
    <col min="27" max="27" width="1.25" style="78" hidden="1" customWidth="1"/>
    <col min="28" max="28" width="0" style="78" hidden="1" customWidth="1"/>
    <col min="29" max="29" width="1.625" style="78" hidden="1" customWidth="1"/>
    <col min="30" max="30" width="0" style="78" hidden="1" customWidth="1"/>
    <col min="31" max="31" width="1.625" style="78" hidden="1" customWidth="1"/>
    <col min="32" max="32" width="9.625" style="78" hidden="1" customWidth="1"/>
    <col min="33" max="33" width="2.00390625" style="78" hidden="1" customWidth="1"/>
    <col min="34" max="34" width="0" style="78" hidden="1" customWidth="1"/>
    <col min="35" max="35" width="1.75390625" style="78" hidden="1" customWidth="1"/>
    <col min="36" max="36" width="0" style="78" hidden="1" customWidth="1"/>
    <col min="37" max="16384" width="9.625" style="78" customWidth="1"/>
  </cols>
  <sheetData>
    <row r="1" spans="2:19" ht="15">
      <c r="B1" s="207"/>
      <c r="S1" s="207"/>
    </row>
    <row r="2" spans="2:19" ht="15">
      <c r="B2" s="217" t="s">
        <v>61</v>
      </c>
      <c r="C2" s="88"/>
      <c r="D2" s="88"/>
      <c r="E2" s="218">
        <v>44317</v>
      </c>
      <c r="F2" s="279"/>
      <c r="G2" s="218">
        <v>46142</v>
      </c>
      <c r="S2" s="229"/>
    </row>
    <row r="3" spans="2:7" ht="15">
      <c r="B3" s="217"/>
      <c r="C3" s="88"/>
      <c r="D3" s="88"/>
      <c r="E3" s="79"/>
      <c r="F3" s="80"/>
      <c r="G3" s="79"/>
    </row>
    <row r="4" spans="2:25" ht="17.25">
      <c r="B4" s="217"/>
      <c r="E4" s="289"/>
      <c r="S4" s="86"/>
      <c r="U4" s="219"/>
      <c r="W4" s="89"/>
      <c r="X4" s="207"/>
      <c r="Y4" s="207"/>
    </row>
    <row r="5" spans="1:25" ht="15">
      <c r="A5" s="220"/>
      <c r="E5" s="260" t="s">
        <v>204</v>
      </c>
      <c r="G5" s="260" t="s">
        <v>209</v>
      </c>
      <c r="I5" s="229" t="s">
        <v>212</v>
      </c>
      <c r="K5" s="229" t="s">
        <v>215</v>
      </c>
      <c r="M5" s="260" t="s">
        <v>226</v>
      </c>
      <c r="O5" s="260" t="s">
        <v>239</v>
      </c>
      <c r="Q5" s="260" t="s">
        <v>244</v>
      </c>
      <c r="S5" s="86"/>
      <c r="U5" s="230"/>
      <c r="W5" s="88"/>
      <c r="X5" s="229"/>
      <c r="Y5" s="88"/>
    </row>
    <row r="6" spans="1:256" ht="15">
      <c r="A6" s="221"/>
      <c r="B6" s="210" t="s">
        <v>62</v>
      </c>
      <c r="C6" s="221"/>
      <c r="D6" s="221"/>
      <c r="E6" s="261" t="s">
        <v>248</v>
      </c>
      <c r="G6" s="261" t="s">
        <v>213</v>
      </c>
      <c r="I6" s="261" t="s">
        <v>214</v>
      </c>
      <c r="K6" s="286" t="s">
        <v>218</v>
      </c>
      <c r="M6" s="286" t="s">
        <v>227</v>
      </c>
      <c r="N6" s="222"/>
      <c r="O6" s="286" t="s">
        <v>240</v>
      </c>
      <c r="P6" s="222"/>
      <c r="Q6" s="286" t="s">
        <v>245</v>
      </c>
      <c r="R6" s="221"/>
      <c r="S6" s="86"/>
      <c r="U6" s="219"/>
      <c r="V6" s="221"/>
      <c r="W6" s="88"/>
      <c r="X6" s="228"/>
      <c r="Y6" s="88"/>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row>
    <row r="7" spans="2:25" ht="15">
      <c r="B7" s="81" t="s">
        <v>63</v>
      </c>
      <c r="E7" s="206">
        <v>0.312</v>
      </c>
      <c r="F7" s="207"/>
      <c r="G7" s="206">
        <v>0.277</v>
      </c>
      <c r="H7" s="207"/>
      <c r="I7" s="206">
        <v>0.264</v>
      </c>
      <c r="J7" s="207"/>
      <c r="K7" s="206">
        <v>0.285</v>
      </c>
      <c r="M7" s="206">
        <v>0.297</v>
      </c>
      <c r="O7" s="206">
        <v>0.3</v>
      </c>
      <c r="Q7" s="206">
        <v>0.304</v>
      </c>
      <c r="S7" s="86"/>
      <c r="U7" s="219"/>
      <c r="W7" s="88"/>
      <c r="X7" s="228"/>
      <c r="Y7" s="88"/>
    </row>
    <row r="8" spans="2:25" ht="15">
      <c r="B8" s="81" t="s">
        <v>216</v>
      </c>
      <c r="E8" s="206">
        <v>0.287</v>
      </c>
      <c r="F8" s="207"/>
      <c r="G8" s="206">
        <v>0.284</v>
      </c>
      <c r="H8" s="207"/>
      <c r="I8" s="206">
        <v>0.354</v>
      </c>
      <c r="J8" s="207"/>
      <c r="K8" s="206">
        <v>0.367</v>
      </c>
      <c r="M8" s="206">
        <v>0.343</v>
      </c>
      <c r="O8" s="206">
        <v>0.345</v>
      </c>
      <c r="Q8" s="206">
        <v>0.346</v>
      </c>
      <c r="S8" s="86"/>
      <c r="U8" s="219"/>
      <c r="W8" s="88"/>
      <c r="X8" s="228"/>
      <c r="Y8" s="207"/>
    </row>
    <row r="9" spans="2:25" ht="15">
      <c r="B9" s="81" t="s">
        <v>217</v>
      </c>
      <c r="E9" s="206">
        <v>0.329</v>
      </c>
      <c r="F9" s="207"/>
      <c r="G9" s="206">
        <v>0.348</v>
      </c>
      <c r="H9" s="207"/>
      <c r="I9" s="206">
        <v>0.431</v>
      </c>
      <c r="J9" s="207"/>
      <c r="K9" s="278">
        <v>0.429</v>
      </c>
      <c r="M9" s="206">
        <v>0.416</v>
      </c>
      <c r="O9" s="278">
        <v>0.426</v>
      </c>
      <c r="Q9" s="206">
        <v>0.437</v>
      </c>
      <c r="S9" s="86"/>
      <c r="U9" s="219"/>
      <c r="W9" s="88"/>
      <c r="X9" s="228"/>
      <c r="Y9" s="88"/>
    </row>
    <row r="10" spans="2:25" ht="15">
      <c r="B10" s="81" t="s">
        <v>64</v>
      </c>
      <c r="E10" s="206">
        <v>0.336</v>
      </c>
      <c r="F10" s="207"/>
      <c r="G10" s="206">
        <v>0.347</v>
      </c>
      <c r="H10" s="207"/>
      <c r="I10" s="206">
        <v>0.324</v>
      </c>
      <c r="J10" s="207"/>
      <c r="K10" s="278">
        <v>0.338</v>
      </c>
      <c r="M10" s="206">
        <v>0.382</v>
      </c>
      <c r="O10" s="206">
        <v>0.384</v>
      </c>
      <c r="Q10" s="206">
        <v>0.385</v>
      </c>
      <c r="S10" s="86"/>
      <c r="U10" s="230"/>
      <c r="W10" s="88"/>
      <c r="X10" s="228"/>
      <c r="Y10" s="207"/>
    </row>
    <row r="11" spans="2:25" ht="15">
      <c r="B11" s="81" t="s">
        <v>65</v>
      </c>
      <c r="E11" s="206">
        <v>0.071</v>
      </c>
      <c r="F11" s="207"/>
      <c r="G11" s="206">
        <v>0.072</v>
      </c>
      <c r="H11" s="207"/>
      <c r="I11" s="206">
        <v>0.073</v>
      </c>
      <c r="J11" s="207"/>
      <c r="K11" s="206">
        <v>0.076</v>
      </c>
      <c r="M11" s="206">
        <v>0.075</v>
      </c>
      <c r="O11" s="206">
        <v>0.075</v>
      </c>
      <c r="Q11" s="206">
        <v>0.075</v>
      </c>
      <c r="W11" s="229"/>
      <c r="X11" s="228"/>
      <c r="Y11" s="207"/>
    </row>
    <row r="12" spans="2:17" ht="15">
      <c r="B12" s="81" t="s">
        <v>86</v>
      </c>
      <c r="E12" s="206">
        <v>0.203</v>
      </c>
      <c r="F12" s="207"/>
      <c r="G12" s="206">
        <v>0.191</v>
      </c>
      <c r="H12" s="207"/>
      <c r="I12" s="206">
        <v>0.181</v>
      </c>
      <c r="J12" s="207"/>
      <c r="K12" s="206">
        <v>0.182</v>
      </c>
      <c r="M12" s="206">
        <v>0.198</v>
      </c>
      <c r="O12" s="206">
        <v>0.199</v>
      </c>
      <c r="Q12" s="206">
        <v>0.199</v>
      </c>
    </row>
    <row r="13" spans="5:15" ht="15">
      <c r="E13" s="206"/>
      <c r="F13" s="82"/>
      <c r="G13" s="206"/>
      <c r="I13" s="206"/>
      <c r="J13" s="225" t="s">
        <v>203</v>
      </c>
      <c r="K13" s="206"/>
      <c r="M13" s="206"/>
      <c r="O13" s="206"/>
    </row>
    <row r="14" spans="2:36" ht="15">
      <c r="B14" s="210" t="s">
        <v>191</v>
      </c>
      <c r="E14" s="82"/>
      <c r="F14" s="82"/>
      <c r="G14" s="82"/>
      <c r="I14" s="82"/>
      <c r="K14" s="82"/>
      <c r="M14" s="82"/>
      <c r="O14" s="82"/>
      <c r="Q14" s="82"/>
      <c r="S14" s="84"/>
      <c r="T14" s="207">
        <f>VALUE(U14)+2000</f>
        <v>2021</v>
      </c>
      <c r="U14" s="84" t="str">
        <f>RIGHT(E5,2)</f>
        <v>21</v>
      </c>
      <c r="X14" s="319" t="s">
        <v>247</v>
      </c>
      <c r="Y14" s="319"/>
      <c r="Z14" s="319"/>
      <c r="AA14" s="319"/>
      <c r="AB14" s="319"/>
      <c r="AC14" s="319"/>
      <c r="AD14" s="319"/>
      <c r="AE14" s="319"/>
      <c r="AF14" s="319"/>
      <c r="AG14" s="319"/>
      <c r="AH14" s="319"/>
      <c r="AI14" s="319"/>
      <c r="AJ14" s="319"/>
    </row>
    <row r="15" spans="2:36" ht="15">
      <c r="B15" s="81" t="s">
        <v>192</v>
      </c>
      <c r="E15" s="206">
        <v>0.605</v>
      </c>
      <c r="F15" s="206"/>
      <c r="G15" s="206">
        <v>0.62</v>
      </c>
      <c r="H15" s="206"/>
      <c r="I15" s="206">
        <v>0.62</v>
      </c>
      <c r="J15" s="206"/>
      <c r="K15" s="206">
        <v>0.62</v>
      </c>
      <c r="M15" s="206">
        <f>+K15</f>
        <v>0.62</v>
      </c>
      <c r="O15" s="206">
        <f>+M15</f>
        <v>0.62</v>
      </c>
      <c r="Q15" s="206">
        <f>+O15</f>
        <v>0.62</v>
      </c>
      <c r="S15" s="84"/>
      <c r="T15" s="207">
        <f aca="true" t="shared" si="0" ref="T15:T20">T14+1</f>
        <v>2022</v>
      </c>
      <c r="U15" s="84"/>
      <c r="X15" s="80">
        <f>IF(MONTH(E2)&gt;6,YEAR(E2)+1,YEAR(E2))</f>
        <v>2021</v>
      </c>
      <c r="Y15" s="80"/>
      <c r="Z15" s="80">
        <f>X15+1</f>
        <v>2022</v>
      </c>
      <c r="AA15" s="80"/>
      <c r="AB15" s="80">
        <f>Z15+1</f>
        <v>2023</v>
      </c>
      <c r="AC15" s="80"/>
      <c r="AD15" s="80">
        <f>AB15+1</f>
        <v>2024</v>
      </c>
      <c r="AE15" s="80"/>
      <c r="AF15" s="80">
        <f>AD15+1</f>
        <v>2025</v>
      </c>
      <c r="AG15" s="80"/>
      <c r="AH15" s="80">
        <f>AF15+1</f>
        <v>2026</v>
      </c>
      <c r="AI15" s="80"/>
      <c r="AJ15" s="80">
        <f>AH15+1</f>
        <v>2027</v>
      </c>
    </row>
    <row r="16" spans="2:36" ht="15">
      <c r="B16" s="81" t="s">
        <v>193</v>
      </c>
      <c r="E16" s="206">
        <v>0.57</v>
      </c>
      <c r="F16" s="206"/>
      <c r="G16" s="206">
        <v>0.57</v>
      </c>
      <c r="H16" s="206"/>
      <c r="I16" s="206">
        <v>0.57</v>
      </c>
      <c r="J16" s="206"/>
      <c r="K16" s="206">
        <v>0.57</v>
      </c>
      <c r="M16" s="206">
        <f>+K16</f>
        <v>0.57</v>
      </c>
      <c r="O16" s="206">
        <f>+M16</f>
        <v>0.57</v>
      </c>
      <c r="Q16" s="206">
        <f>+O16</f>
        <v>0.57</v>
      </c>
      <c r="S16" s="84"/>
      <c r="T16" s="207">
        <f t="shared" si="0"/>
        <v>2023</v>
      </c>
      <c r="U16" s="84"/>
      <c r="V16" s="86"/>
      <c r="X16" s="80" t="str">
        <f>"FY"&amp;RIGHT(TEXT(X15,"0"),2)</f>
        <v>FY21</v>
      </c>
      <c r="Y16" s="80"/>
      <c r="Z16" s="80" t="str">
        <f>"FY"&amp;RIGHT(TEXT(Z15,"0"),2)</f>
        <v>FY22</v>
      </c>
      <c r="AA16" s="80"/>
      <c r="AB16" s="80" t="str">
        <f>"FY"&amp;RIGHT(TEXT(AB15,"0"),2)</f>
        <v>FY23</v>
      </c>
      <c r="AC16" s="80"/>
      <c r="AD16" s="80" t="str">
        <f>"FY"&amp;RIGHT(TEXT(AD15,"0"),2)</f>
        <v>FY24</v>
      </c>
      <c r="AE16" s="80"/>
      <c r="AF16" s="80" t="str">
        <f>"FY"&amp;RIGHT(TEXT(AF15,"0"),2)</f>
        <v>FY25</v>
      </c>
      <c r="AG16" s="80"/>
      <c r="AH16" s="80" t="str">
        <f>"FY"&amp;RIGHT(TEXT(AH15,"0"),2)</f>
        <v>FY26</v>
      </c>
      <c r="AI16" s="80"/>
      <c r="AJ16" s="80" t="str">
        <f>"FY"&amp;RIGHT(TEXT(AJ15,"0"),2)</f>
        <v>FY27</v>
      </c>
    </row>
    <row r="17" spans="2:21" ht="15">
      <c r="B17" s="81" t="s">
        <v>194</v>
      </c>
      <c r="E17" s="206">
        <v>0.3</v>
      </c>
      <c r="F17" s="206"/>
      <c r="G17" s="206">
        <v>0.31</v>
      </c>
      <c r="H17" s="206"/>
      <c r="I17" s="206">
        <v>0.31</v>
      </c>
      <c r="J17" s="206"/>
      <c r="K17" s="206">
        <v>0.31</v>
      </c>
      <c r="M17" s="206">
        <f>+K17</f>
        <v>0.31</v>
      </c>
      <c r="O17" s="206">
        <f>+M17</f>
        <v>0.31</v>
      </c>
      <c r="Q17" s="206">
        <f>+O17</f>
        <v>0.31</v>
      </c>
      <c r="S17" s="84"/>
      <c r="T17" s="207">
        <f t="shared" si="0"/>
        <v>2024</v>
      </c>
      <c r="U17" s="84"/>
    </row>
    <row r="18" spans="5:21" ht="15">
      <c r="E18" s="206"/>
      <c r="F18" s="82"/>
      <c r="G18" s="206"/>
      <c r="H18" s="82"/>
      <c r="I18" s="206"/>
      <c r="J18" s="82"/>
      <c r="K18" s="206"/>
      <c r="M18" s="206"/>
      <c r="O18" s="206"/>
      <c r="Q18" s="206"/>
      <c r="S18" s="84"/>
      <c r="T18" s="207">
        <f t="shared" si="0"/>
        <v>2025</v>
      </c>
      <c r="U18" s="84"/>
    </row>
    <row r="19" spans="2:26" ht="15">
      <c r="B19" s="210" t="s">
        <v>201</v>
      </c>
      <c r="E19" s="82"/>
      <c r="F19" s="82"/>
      <c r="G19" s="82"/>
      <c r="H19" s="82"/>
      <c r="I19" s="82"/>
      <c r="J19" s="82"/>
      <c r="K19" s="82"/>
      <c r="M19" s="82"/>
      <c r="O19" s="82"/>
      <c r="Q19" s="82"/>
      <c r="S19" s="84"/>
      <c r="T19" s="207">
        <f t="shared" si="0"/>
        <v>2026</v>
      </c>
      <c r="U19" s="84"/>
      <c r="Z19" s="225"/>
    </row>
    <row r="20" spans="2:21" ht="15">
      <c r="B20" s="81" t="s">
        <v>192</v>
      </c>
      <c r="E20" s="206">
        <v>0.26</v>
      </c>
      <c r="F20" s="82"/>
      <c r="G20" s="206">
        <v>0.26</v>
      </c>
      <c r="H20" s="82"/>
      <c r="I20" s="206">
        <v>0.26</v>
      </c>
      <c r="J20" s="82"/>
      <c r="K20" s="206">
        <v>0.26</v>
      </c>
      <c r="M20" s="206">
        <v>0.26</v>
      </c>
      <c r="O20" s="206">
        <v>0.26</v>
      </c>
      <c r="Q20" s="206">
        <v>0.26</v>
      </c>
      <c r="S20" s="84"/>
      <c r="T20" s="207">
        <f t="shared" si="0"/>
        <v>2027</v>
      </c>
      <c r="U20" s="84"/>
    </row>
    <row r="21" spans="2:17" ht="15">
      <c r="B21" s="81" t="s">
        <v>193</v>
      </c>
      <c r="E21" s="206">
        <v>0.26</v>
      </c>
      <c r="F21" s="82"/>
      <c r="G21" s="206">
        <v>0.26</v>
      </c>
      <c r="H21" s="82"/>
      <c r="I21" s="206">
        <v>0.26</v>
      </c>
      <c r="J21" s="82"/>
      <c r="K21" s="206">
        <v>0.26</v>
      </c>
      <c r="M21" s="206">
        <v>0.26</v>
      </c>
      <c r="O21" s="206">
        <v>0.26</v>
      </c>
      <c r="Q21" s="206">
        <v>0.26</v>
      </c>
    </row>
    <row r="22" spans="2:21" ht="15">
      <c r="B22" s="81" t="s">
        <v>194</v>
      </c>
      <c r="E22" s="206">
        <v>0.26</v>
      </c>
      <c r="F22" s="82"/>
      <c r="G22" s="206">
        <v>0.26</v>
      </c>
      <c r="H22" s="82"/>
      <c r="I22" s="206">
        <v>0.26</v>
      </c>
      <c r="J22" s="82"/>
      <c r="K22" s="206">
        <v>0.26</v>
      </c>
      <c r="M22" s="206">
        <v>0.26</v>
      </c>
      <c r="O22" s="206">
        <v>0.26</v>
      </c>
      <c r="Q22" s="206">
        <v>0.26</v>
      </c>
      <c r="U22" s="207"/>
    </row>
    <row r="24" spans="1:256" ht="15">
      <c r="A24" s="221"/>
      <c r="B24" s="267" t="s">
        <v>98</v>
      </c>
      <c r="C24" s="268"/>
      <c r="D24" s="268"/>
      <c r="E24" s="269" t="s">
        <v>21</v>
      </c>
      <c r="F24" s="268"/>
      <c r="G24" s="269" t="s">
        <v>54</v>
      </c>
      <c r="H24" s="268"/>
      <c r="I24" s="269" t="s">
        <v>56</v>
      </c>
      <c r="J24" s="268"/>
      <c r="K24" s="269" t="s">
        <v>58</v>
      </c>
      <c r="L24" s="268"/>
      <c r="M24" s="269" t="s">
        <v>60</v>
      </c>
      <c r="N24" s="268"/>
      <c r="O24" s="269" t="s">
        <v>99</v>
      </c>
      <c r="P24" s="268"/>
      <c r="Q24" s="269" t="s">
        <v>100</v>
      </c>
      <c r="R24" s="221"/>
      <c r="S24" s="290"/>
      <c r="T24" s="291"/>
      <c r="U24" s="221"/>
      <c r="V24" s="221"/>
      <c r="W24" s="291" t="s">
        <v>246</v>
      </c>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1"/>
      <c r="EL24" s="221"/>
      <c r="EM24" s="221"/>
      <c r="EN24" s="221"/>
      <c r="EO24" s="221"/>
      <c r="EP24" s="221"/>
      <c r="EQ24" s="221"/>
      <c r="ER24" s="221"/>
      <c r="ES24" s="221"/>
      <c r="ET24" s="221"/>
      <c r="EU24" s="221"/>
      <c r="EV24" s="221"/>
      <c r="EW24" s="221"/>
      <c r="EX24" s="221"/>
      <c r="EY24" s="221"/>
      <c r="EZ24" s="221"/>
      <c r="FA24" s="221"/>
      <c r="FB24" s="221"/>
      <c r="FC24" s="221"/>
      <c r="FD24" s="221"/>
      <c r="FE24" s="221"/>
      <c r="FF24" s="221"/>
      <c r="FG24" s="221"/>
      <c r="FH24" s="221"/>
      <c r="FI24" s="221"/>
      <c r="FJ24" s="221"/>
      <c r="FK24" s="221"/>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21"/>
      <c r="GN24" s="221"/>
      <c r="GO24" s="221"/>
      <c r="GP24" s="221"/>
      <c r="GQ24" s="221"/>
      <c r="GR24" s="221"/>
      <c r="GS24" s="221"/>
      <c r="GT24" s="221"/>
      <c r="GU24" s="221"/>
      <c r="GV24" s="221"/>
      <c r="GW24" s="221"/>
      <c r="GX24" s="221"/>
      <c r="GY24" s="221"/>
      <c r="GZ24" s="221"/>
      <c r="HA24" s="221"/>
      <c r="HB24" s="221"/>
      <c r="HC24" s="221"/>
      <c r="HD24" s="221"/>
      <c r="HE24" s="221"/>
      <c r="HF24" s="221"/>
      <c r="HG24" s="221"/>
      <c r="HH24" s="221"/>
      <c r="HI24" s="221"/>
      <c r="HJ24" s="221"/>
      <c r="HK24" s="221"/>
      <c r="HL24" s="221"/>
      <c r="HM24" s="221"/>
      <c r="HN24" s="221"/>
      <c r="HO24" s="221"/>
      <c r="HP24" s="221"/>
      <c r="HQ24" s="221"/>
      <c r="HR24" s="221"/>
      <c r="HS24" s="221"/>
      <c r="HT24" s="221"/>
      <c r="HU24" s="221"/>
      <c r="HV24" s="221"/>
      <c r="HW24" s="221"/>
      <c r="HX24" s="221"/>
      <c r="HY24" s="221"/>
      <c r="HZ24" s="221"/>
      <c r="IA24" s="221"/>
      <c r="IB24" s="221"/>
      <c r="IC24" s="221"/>
      <c r="ID24" s="221"/>
      <c r="IE24" s="221"/>
      <c r="IF24" s="221"/>
      <c r="IG24" s="221"/>
      <c r="IH24" s="221"/>
      <c r="II24" s="221"/>
      <c r="IJ24" s="221"/>
      <c r="IK24" s="221"/>
      <c r="IL24" s="221"/>
      <c r="IM24" s="221"/>
      <c r="IN24" s="221"/>
      <c r="IO24" s="221"/>
      <c r="IP24" s="221"/>
      <c r="IQ24" s="221"/>
      <c r="IR24" s="221"/>
      <c r="IS24" s="221"/>
      <c r="IT24" s="221"/>
      <c r="IU24" s="221"/>
      <c r="IV24" s="221"/>
    </row>
    <row r="25" spans="2:23" ht="15">
      <c r="B25" s="270" t="s">
        <v>63</v>
      </c>
      <c r="C25" s="271"/>
      <c r="D25" s="271"/>
      <c r="E25" s="292">
        <f aca="true" t="shared" si="1" ref="E25:E30">IF(X$15&lt;$T$20,HLOOKUP(X$16,$E$5:$Q$17,$W25,FALSE),$Q7+(0.005*(X$15-$T$20)))</f>
        <v>0.312</v>
      </c>
      <c r="F25" s="287"/>
      <c r="G25" s="292">
        <f aca="true" t="shared" si="2" ref="G25:G30">IF(Z$15&lt;$T$20,HLOOKUP(Z$16,$E$5:$Q$17,$W25,FALSE),$Q7+(0.005*(Z$15-$T$20)))</f>
        <v>0.277</v>
      </c>
      <c r="H25" s="287"/>
      <c r="I25" s="292">
        <f aca="true" t="shared" si="3" ref="I25:I30">IF(AB$15&lt;$T$20,HLOOKUP(AB$16,$E$5:$Q$17,$W25,FALSE),$Q7+(0.005*(AB$15-$T$20)))</f>
        <v>0.264</v>
      </c>
      <c r="J25" s="287"/>
      <c r="K25" s="292">
        <f aca="true" t="shared" si="4" ref="K25:K30">IF(AD$15&lt;$T$20,HLOOKUP(AD$16,$E$5:$Q$17,$W25,FALSE),$Q7+(0.005*(AD$15-$T$20)))</f>
        <v>0.285</v>
      </c>
      <c r="L25" s="287"/>
      <c r="M25" s="292">
        <f aca="true" t="shared" si="5" ref="M25:M30">IF(AF$15&lt;$T$20,HLOOKUP(AF$16,$E$5:$Q$17,$W25,FALSE),$Q7+(0.005*(AF$15-$T$20)))</f>
        <v>0.297</v>
      </c>
      <c r="N25" s="287"/>
      <c r="O25" s="292">
        <f aca="true" t="shared" si="6" ref="O25:O30">IF(AH$15&lt;$T$20,HLOOKUP(AH$16,$E$5:$Q$17,$W25,FALSE),$Q7+(0.005*(AH$15-$T$20)))</f>
        <v>0.3</v>
      </c>
      <c r="P25" s="287"/>
      <c r="Q25" s="292">
        <f aca="true" t="shared" si="7" ref="Q25:Q30">IF(AJ$15&lt;$T$20,HLOOKUP(AJ$16,$E$5:$Q$17,$W25,FALSE),$Q7+(0.005*(AJ$15-$T$20)))</f>
        <v>0.304</v>
      </c>
      <c r="W25" s="78">
        <v>3</v>
      </c>
    </row>
    <row r="26" spans="2:23" ht="15">
      <c r="B26" s="270" t="s">
        <v>85</v>
      </c>
      <c r="C26" s="271"/>
      <c r="D26" s="271"/>
      <c r="E26" s="292">
        <f t="shared" si="1"/>
        <v>0.287</v>
      </c>
      <c r="F26" s="288"/>
      <c r="G26" s="292">
        <f t="shared" si="2"/>
        <v>0.284</v>
      </c>
      <c r="H26" s="287"/>
      <c r="I26" s="292">
        <f t="shared" si="3"/>
        <v>0.354</v>
      </c>
      <c r="J26" s="288"/>
      <c r="K26" s="292">
        <f t="shared" si="4"/>
        <v>0.367</v>
      </c>
      <c r="L26" s="288"/>
      <c r="M26" s="292">
        <f t="shared" si="5"/>
        <v>0.343</v>
      </c>
      <c r="N26" s="288"/>
      <c r="O26" s="292">
        <f t="shared" si="6"/>
        <v>0.345</v>
      </c>
      <c r="P26" s="288"/>
      <c r="Q26" s="292">
        <f t="shared" si="7"/>
        <v>0.346</v>
      </c>
      <c r="W26" s="78">
        <v>4</v>
      </c>
    </row>
    <row r="27" spans="2:23" ht="15">
      <c r="B27" s="266" t="s">
        <v>217</v>
      </c>
      <c r="C27" s="271"/>
      <c r="D27" s="271"/>
      <c r="E27" s="292">
        <f t="shared" si="1"/>
        <v>0.329</v>
      </c>
      <c r="F27" s="288"/>
      <c r="G27" s="292">
        <f t="shared" si="2"/>
        <v>0.348</v>
      </c>
      <c r="H27" s="287"/>
      <c r="I27" s="292">
        <f t="shared" si="3"/>
        <v>0.431</v>
      </c>
      <c r="J27" s="288"/>
      <c r="K27" s="292">
        <f t="shared" si="4"/>
        <v>0.429</v>
      </c>
      <c r="L27" s="288"/>
      <c r="M27" s="292">
        <f t="shared" si="5"/>
        <v>0.416</v>
      </c>
      <c r="N27" s="288"/>
      <c r="O27" s="292">
        <f t="shared" si="6"/>
        <v>0.426</v>
      </c>
      <c r="P27" s="288"/>
      <c r="Q27" s="292">
        <f t="shared" si="7"/>
        <v>0.437</v>
      </c>
      <c r="W27" s="78">
        <v>5</v>
      </c>
    </row>
    <row r="28" spans="2:23" ht="15">
      <c r="B28" s="270" t="s">
        <v>64</v>
      </c>
      <c r="C28" s="271"/>
      <c r="D28" s="271"/>
      <c r="E28" s="292">
        <f t="shared" si="1"/>
        <v>0.336</v>
      </c>
      <c r="F28" s="288"/>
      <c r="G28" s="292">
        <f t="shared" si="2"/>
        <v>0.347</v>
      </c>
      <c r="H28" s="287"/>
      <c r="I28" s="292">
        <f t="shared" si="3"/>
        <v>0.324</v>
      </c>
      <c r="J28" s="288"/>
      <c r="K28" s="292">
        <f t="shared" si="4"/>
        <v>0.338</v>
      </c>
      <c r="L28" s="288"/>
      <c r="M28" s="292">
        <f t="shared" si="5"/>
        <v>0.382</v>
      </c>
      <c r="N28" s="288"/>
      <c r="O28" s="292">
        <f t="shared" si="6"/>
        <v>0.384</v>
      </c>
      <c r="P28" s="288"/>
      <c r="Q28" s="292">
        <f t="shared" si="7"/>
        <v>0.385</v>
      </c>
      <c r="W28" s="78">
        <v>6</v>
      </c>
    </row>
    <row r="29" spans="2:23" ht="15">
      <c r="B29" s="270" t="s">
        <v>65</v>
      </c>
      <c r="C29" s="271"/>
      <c r="D29" s="271"/>
      <c r="E29" s="292">
        <f t="shared" si="1"/>
        <v>0.071</v>
      </c>
      <c r="F29" s="288"/>
      <c r="G29" s="292">
        <f t="shared" si="2"/>
        <v>0.072</v>
      </c>
      <c r="H29" s="287"/>
      <c r="I29" s="292">
        <f t="shared" si="3"/>
        <v>0.073</v>
      </c>
      <c r="J29" s="288"/>
      <c r="K29" s="292">
        <f t="shared" si="4"/>
        <v>0.076</v>
      </c>
      <c r="L29" s="288"/>
      <c r="M29" s="292">
        <f t="shared" si="5"/>
        <v>0.075</v>
      </c>
      <c r="N29" s="288"/>
      <c r="O29" s="292">
        <f t="shared" si="6"/>
        <v>0.075</v>
      </c>
      <c r="P29" s="288"/>
      <c r="Q29" s="292">
        <f t="shared" si="7"/>
        <v>0.075</v>
      </c>
      <c r="W29" s="78">
        <v>7</v>
      </c>
    </row>
    <row r="30" spans="2:23" ht="15">
      <c r="B30" s="270" t="s">
        <v>86</v>
      </c>
      <c r="C30" s="271"/>
      <c r="D30" s="271"/>
      <c r="E30" s="292">
        <f t="shared" si="1"/>
        <v>0.203</v>
      </c>
      <c r="F30" s="288"/>
      <c r="G30" s="292">
        <f t="shared" si="2"/>
        <v>0.191</v>
      </c>
      <c r="H30" s="287"/>
      <c r="I30" s="292">
        <f t="shared" si="3"/>
        <v>0.181</v>
      </c>
      <c r="J30" s="288"/>
      <c r="K30" s="292">
        <f t="shared" si="4"/>
        <v>0.182</v>
      </c>
      <c r="L30" s="288"/>
      <c r="M30" s="292">
        <f t="shared" si="5"/>
        <v>0.198</v>
      </c>
      <c r="N30" s="288"/>
      <c r="O30" s="292">
        <f t="shared" si="6"/>
        <v>0.199</v>
      </c>
      <c r="P30" s="288"/>
      <c r="Q30" s="292">
        <f t="shared" si="7"/>
        <v>0.199</v>
      </c>
      <c r="W30" s="78">
        <v>8</v>
      </c>
    </row>
    <row r="31" spans="2:23" ht="15">
      <c r="B31" s="272" t="s">
        <v>196</v>
      </c>
      <c r="C31" s="271"/>
      <c r="D31" s="271"/>
      <c r="E31" s="292">
        <f>IF(X$15&lt;$T$20,HLOOKUP(X$16,$E$5:$Q$17,$W31,FALSE),$Q15)</f>
        <v>0.605</v>
      </c>
      <c r="F31" s="288"/>
      <c r="G31" s="292">
        <f>IF(Z$15&lt;$T$20,HLOOKUP(Z$16,$E$5:$Q$17,$W31,FALSE),$Q15)</f>
        <v>0.62</v>
      </c>
      <c r="H31" s="287"/>
      <c r="I31" s="292">
        <f>IF(AB$15&lt;$T$20,HLOOKUP(AB$16,$E$5:$Q$17,$W31,FALSE),$Q15)</f>
        <v>0.62</v>
      </c>
      <c r="J31" s="288"/>
      <c r="K31" s="292">
        <f>IF(AD$15&lt;$T$20,HLOOKUP(AD$16,$E$5:$Q$17,$W31,FALSE),$Q15)</f>
        <v>0.62</v>
      </c>
      <c r="L31" s="288"/>
      <c r="M31" s="292">
        <f>IF(AF$15&lt;$T$20,HLOOKUP(AF$16,$E$5:$Q$17,$W31,FALSE),$Q15)</f>
        <v>0.62</v>
      </c>
      <c r="N31" s="288"/>
      <c r="O31" s="292">
        <f>IF(AH$15&lt;$T$20,HLOOKUP(AH$16,$E$5:$Q$17,$W31,FALSE),$Q15)</f>
        <v>0.62</v>
      </c>
      <c r="P31" s="288"/>
      <c r="Q31" s="292">
        <f>IF(AJ$15&lt;$T$20,HLOOKUP(AJ$16,$E$5:$Q$17,$W31,FALSE),$Q15)</f>
        <v>0.62</v>
      </c>
      <c r="W31" s="78">
        <v>11</v>
      </c>
    </row>
    <row r="32" spans="2:23" ht="15">
      <c r="B32" s="272" t="s">
        <v>197</v>
      </c>
      <c r="C32" s="271"/>
      <c r="D32" s="271"/>
      <c r="E32" s="292">
        <f>IF(X$15&lt;$T$20,HLOOKUP(X$16,$E$5:$Q$17,$W32,FALSE),$Q16)</f>
        <v>0.57</v>
      </c>
      <c r="F32" s="288"/>
      <c r="G32" s="292">
        <f>IF(Z$15&lt;$T$20,HLOOKUP(Z$16,$E$5:$Q$17,$W32,FALSE),$Q16)</f>
        <v>0.57</v>
      </c>
      <c r="H32" s="287"/>
      <c r="I32" s="292">
        <f>IF(AB$15&lt;$T$20,HLOOKUP(AB$16,$E$5:$Q$17,$W32,FALSE),$Q16)</f>
        <v>0.57</v>
      </c>
      <c r="J32" s="288"/>
      <c r="K32" s="292">
        <f>IF(AD$15&lt;$T$20,HLOOKUP(AD$16,$E$5:$Q$17,$W32,FALSE),$Q16)</f>
        <v>0.57</v>
      </c>
      <c r="L32" s="288"/>
      <c r="M32" s="292">
        <f>IF(AF$15&lt;$T$20,HLOOKUP(AF$16,$E$5:$Q$17,$W32,FALSE),$Q16)</f>
        <v>0.57</v>
      </c>
      <c r="N32" s="288"/>
      <c r="O32" s="292">
        <f>IF(AH$15&lt;$T$20,HLOOKUP(AH$16,$E$5:$Q$17,$W32,FALSE),$Q16)</f>
        <v>0.57</v>
      </c>
      <c r="P32" s="288"/>
      <c r="Q32" s="292">
        <f>IF(AJ$15&lt;$T$20,HLOOKUP(AJ$16,$E$5:$Q$17,$W32,FALSE),$Q16)</f>
        <v>0.57</v>
      </c>
      <c r="W32" s="78">
        <v>12</v>
      </c>
    </row>
    <row r="33" spans="2:23" ht="15">
      <c r="B33" s="272" t="s">
        <v>198</v>
      </c>
      <c r="C33" s="271"/>
      <c r="D33" s="271"/>
      <c r="E33" s="292">
        <f>IF(X$15&lt;$T$20,HLOOKUP(X$16,$E$5:$Q$17,$W33,FALSE),$Q17)</f>
        <v>0.3</v>
      </c>
      <c r="F33" s="288"/>
      <c r="G33" s="292">
        <f>IF(Z$15&lt;$T$20,HLOOKUP(Z$16,$E$5:$Q$17,$W33,FALSE),$Q17)</f>
        <v>0.31</v>
      </c>
      <c r="H33" s="287"/>
      <c r="I33" s="292">
        <f>IF(AB$15&lt;$T$20,HLOOKUP(AB$16,$E$5:$Q$17,$W33,FALSE),$Q17)</f>
        <v>0.31</v>
      </c>
      <c r="J33" s="288"/>
      <c r="K33" s="292">
        <f>IF(AD$15&lt;$T$20,HLOOKUP(AD$16,$E$5:$Q$17,$W33,FALSE),$Q17)</f>
        <v>0.31</v>
      </c>
      <c r="L33" s="288"/>
      <c r="M33" s="292">
        <f>IF(AF$15&lt;$T$20,HLOOKUP(AF$16,$E$5:$Q$17,$W33,FALSE),$Q17)</f>
        <v>0.31</v>
      </c>
      <c r="N33" s="288"/>
      <c r="O33" s="292">
        <f>IF(AH$15&lt;$T$20,HLOOKUP(AH$16,$E$5:$Q$17,$W33,FALSE),$Q17)</f>
        <v>0.31</v>
      </c>
      <c r="P33" s="288"/>
      <c r="Q33" s="292">
        <f>IF(AJ$15&lt;$T$20,HLOOKUP(AJ$16,$E$5:$Q$17,$W33,FALSE),$Q17)</f>
        <v>0.31</v>
      </c>
      <c r="W33" s="78">
        <v>13</v>
      </c>
    </row>
    <row r="34" spans="2:17" ht="15">
      <c r="B34" s="81" t="s">
        <v>1</v>
      </c>
      <c r="Q34" s="262"/>
    </row>
    <row r="35" spans="2:5" ht="15">
      <c r="B35" s="210" t="s">
        <v>66</v>
      </c>
      <c r="E35" s="147"/>
    </row>
    <row r="36" spans="3:13" ht="15">
      <c r="C36" s="81" t="s">
        <v>1</v>
      </c>
      <c r="D36" s="81" t="s">
        <v>1</v>
      </c>
      <c r="J36" s="221"/>
      <c r="K36" s="221"/>
      <c r="M36" s="221"/>
    </row>
    <row r="37" spans="2:17" ht="15">
      <c r="B37" s="210" t="s">
        <v>62</v>
      </c>
      <c r="C37" s="223" t="s">
        <v>67</v>
      </c>
      <c r="D37" s="223"/>
      <c r="E37" s="222" t="s">
        <v>7</v>
      </c>
      <c r="F37" s="224"/>
      <c r="G37" s="222" t="s">
        <v>53</v>
      </c>
      <c r="H37" s="224"/>
      <c r="I37" s="222" t="s">
        <v>55</v>
      </c>
      <c r="K37" s="222" t="s">
        <v>57</v>
      </c>
      <c r="M37" s="222" t="s">
        <v>59</v>
      </c>
      <c r="O37" s="222" t="s">
        <v>68</v>
      </c>
      <c r="Q37" s="222" t="s">
        <v>69</v>
      </c>
    </row>
    <row r="38" spans="2:17" ht="15">
      <c r="B38" s="81" t="s">
        <v>22</v>
      </c>
      <c r="C38" s="294">
        <f>IF(MONTH($E$2)&lt;7,7-MONTH($E$2),19-MONTH($E$2))</f>
        <v>2</v>
      </c>
      <c r="D38" s="294">
        <f aca="true" t="shared" si="8" ref="D38:D43">12-C38</f>
        <v>10</v>
      </c>
      <c r="E38" s="293">
        <f aca="true" t="shared" si="9" ref="E38:E43">((E25*C38)+(G25*D38))/12</f>
        <v>0.2828333333333334</v>
      </c>
      <c r="F38" s="293"/>
      <c r="G38" s="293">
        <f aca="true" t="shared" si="10" ref="G38:G43">((G25*C38)+(I25*D38))/12</f>
        <v>0.26616666666666666</v>
      </c>
      <c r="H38" s="293"/>
      <c r="I38" s="293">
        <f aca="true" t="shared" si="11" ref="I38:I43">((I25*C38)+(K25*D38))/12</f>
        <v>0.2815</v>
      </c>
      <c r="J38" s="293"/>
      <c r="K38" s="293">
        <f aca="true" t="shared" si="12" ref="K38:K43">((K25*C38)+(M25*D38))/12</f>
        <v>0.295</v>
      </c>
      <c r="L38" s="290"/>
      <c r="M38" s="293">
        <f aca="true" t="shared" si="13" ref="M38:M43">((M25*C38)+(O25*D38))/12</f>
        <v>0.2995</v>
      </c>
      <c r="N38" s="290"/>
      <c r="O38" s="293">
        <f aca="true" t="shared" si="14" ref="O38:O43">((O25*C38)+(Q25*D38))/12</f>
        <v>0.30333333333333334</v>
      </c>
      <c r="P38" s="229"/>
      <c r="Q38" s="293">
        <f aca="true" t="shared" si="15" ref="Q38:Q43">((Q25*C38)+((Q25+0.005)*D38))/12</f>
        <v>0.30816666666666664</v>
      </c>
    </row>
    <row r="39" spans="2:17" ht="15">
      <c r="B39" s="81" t="s">
        <v>87</v>
      </c>
      <c r="C39" s="294">
        <f>$C$38</f>
        <v>2</v>
      </c>
      <c r="D39" s="294">
        <f t="shared" si="8"/>
        <v>10</v>
      </c>
      <c r="E39" s="293">
        <f t="shared" si="9"/>
        <v>0.2845</v>
      </c>
      <c r="F39" s="293"/>
      <c r="G39" s="293">
        <f t="shared" si="10"/>
        <v>0.3423333333333333</v>
      </c>
      <c r="H39" s="293"/>
      <c r="I39" s="293">
        <f t="shared" si="11"/>
        <v>0.36483333333333334</v>
      </c>
      <c r="J39" s="293"/>
      <c r="K39" s="293">
        <f t="shared" si="12"/>
        <v>0.347</v>
      </c>
      <c r="L39" s="290"/>
      <c r="M39" s="293">
        <f t="shared" si="13"/>
        <v>0.3446666666666667</v>
      </c>
      <c r="N39" s="290"/>
      <c r="O39" s="293">
        <f t="shared" si="14"/>
        <v>0.3458333333333334</v>
      </c>
      <c r="P39" s="229"/>
      <c r="Q39" s="293">
        <f t="shared" si="15"/>
        <v>0.3501666666666667</v>
      </c>
    </row>
    <row r="40" spans="2:17" ht="15">
      <c r="B40" s="81" t="s">
        <v>217</v>
      </c>
      <c r="C40" s="294">
        <f>$C$38</f>
        <v>2</v>
      </c>
      <c r="D40" s="294">
        <f t="shared" si="8"/>
        <v>10</v>
      </c>
      <c r="E40" s="293">
        <f t="shared" si="9"/>
        <v>0.3448333333333333</v>
      </c>
      <c r="F40" s="293"/>
      <c r="G40" s="293">
        <f t="shared" si="10"/>
        <v>0.41716666666666663</v>
      </c>
      <c r="H40" s="293"/>
      <c r="I40" s="293">
        <f t="shared" si="11"/>
        <v>0.42933333333333334</v>
      </c>
      <c r="J40" s="293"/>
      <c r="K40" s="293">
        <f t="shared" si="12"/>
        <v>0.41816666666666663</v>
      </c>
      <c r="L40" s="290"/>
      <c r="M40" s="293">
        <f t="shared" si="13"/>
        <v>0.4243333333333333</v>
      </c>
      <c r="N40" s="290"/>
      <c r="O40" s="293">
        <f t="shared" si="14"/>
        <v>0.4351666666666667</v>
      </c>
      <c r="P40" s="229"/>
      <c r="Q40" s="293">
        <f t="shared" si="15"/>
        <v>0.44116666666666665</v>
      </c>
    </row>
    <row r="41" spans="2:17" ht="15">
      <c r="B41" s="81" t="s">
        <v>64</v>
      </c>
      <c r="C41" s="294">
        <f>$C$38</f>
        <v>2</v>
      </c>
      <c r="D41" s="294">
        <f t="shared" si="8"/>
        <v>10</v>
      </c>
      <c r="E41" s="293">
        <f t="shared" si="9"/>
        <v>0.3451666666666666</v>
      </c>
      <c r="F41" s="293"/>
      <c r="G41" s="293">
        <f t="shared" si="10"/>
        <v>0.32783333333333337</v>
      </c>
      <c r="H41" s="293"/>
      <c r="I41" s="293">
        <f t="shared" si="11"/>
        <v>0.3356666666666667</v>
      </c>
      <c r="J41" s="293"/>
      <c r="K41" s="293">
        <f t="shared" si="12"/>
        <v>0.3746666666666667</v>
      </c>
      <c r="L41" s="290"/>
      <c r="M41" s="293">
        <f t="shared" si="13"/>
        <v>0.38366666666666666</v>
      </c>
      <c r="N41" s="290"/>
      <c r="O41" s="293">
        <f t="shared" si="14"/>
        <v>0.38483333333333336</v>
      </c>
      <c r="P41" s="229"/>
      <c r="Q41" s="293">
        <f t="shared" si="15"/>
        <v>0.38916666666666666</v>
      </c>
    </row>
    <row r="42" spans="2:17" ht="15">
      <c r="B42" s="81" t="s">
        <v>65</v>
      </c>
      <c r="C42" s="294">
        <f>$C$38</f>
        <v>2</v>
      </c>
      <c r="D42" s="294">
        <f t="shared" si="8"/>
        <v>10</v>
      </c>
      <c r="E42" s="293">
        <f t="shared" si="9"/>
        <v>0.07183333333333333</v>
      </c>
      <c r="F42" s="293"/>
      <c r="G42" s="293">
        <f t="shared" si="10"/>
        <v>0.07283333333333333</v>
      </c>
      <c r="H42" s="293"/>
      <c r="I42" s="293">
        <f t="shared" si="11"/>
        <v>0.0755</v>
      </c>
      <c r="J42" s="293"/>
      <c r="K42" s="293">
        <f t="shared" si="12"/>
        <v>0.07516666666666667</v>
      </c>
      <c r="L42" s="290"/>
      <c r="M42" s="293">
        <f t="shared" si="13"/>
        <v>0.075</v>
      </c>
      <c r="N42" s="290"/>
      <c r="O42" s="293">
        <f t="shared" si="14"/>
        <v>0.075</v>
      </c>
      <c r="P42" s="229"/>
      <c r="Q42" s="293">
        <f t="shared" si="15"/>
        <v>0.07916666666666668</v>
      </c>
    </row>
    <row r="43" spans="2:17" ht="15">
      <c r="B43" s="81" t="s">
        <v>90</v>
      </c>
      <c r="C43" s="294">
        <f>$C$38</f>
        <v>2</v>
      </c>
      <c r="D43" s="294">
        <f t="shared" si="8"/>
        <v>10</v>
      </c>
      <c r="E43" s="293">
        <f t="shared" si="9"/>
        <v>0.19300000000000003</v>
      </c>
      <c r="F43" s="293"/>
      <c r="G43" s="293">
        <f t="shared" si="10"/>
        <v>0.18266666666666667</v>
      </c>
      <c r="H43" s="293"/>
      <c r="I43" s="293">
        <f t="shared" si="11"/>
        <v>0.18183333333333332</v>
      </c>
      <c r="J43" s="293"/>
      <c r="K43" s="293">
        <f t="shared" si="12"/>
        <v>0.19533333333333333</v>
      </c>
      <c r="L43" s="290"/>
      <c r="M43" s="293">
        <f t="shared" si="13"/>
        <v>0.19883333333333333</v>
      </c>
      <c r="N43" s="290"/>
      <c r="O43" s="293">
        <f t="shared" si="14"/>
        <v>0.19900000000000004</v>
      </c>
      <c r="P43" s="229"/>
      <c r="Q43" s="293">
        <f t="shared" si="15"/>
        <v>0.2031666666666667</v>
      </c>
    </row>
    <row r="44" spans="3:17" ht="15">
      <c r="C44" s="229"/>
      <c r="D44" s="229"/>
      <c r="J44" s="82"/>
      <c r="Q44" s="83" t="s">
        <v>1</v>
      </c>
    </row>
    <row r="45" spans="2:22" ht="15">
      <c r="B45" s="210" t="s">
        <v>191</v>
      </c>
      <c r="C45" s="229"/>
      <c r="D45" s="229"/>
      <c r="E45" s="207"/>
      <c r="F45" s="207"/>
      <c r="G45" s="207"/>
      <c r="H45" s="207"/>
      <c r="I45" s="207"/>
      <c r="J45" s="207"/>
      <c r="K45" s="207"/>
      <c r="L45" s="207"/>
      <c r="M45" s="207"/>
      <c r="N45" s="207"/>
      <c r="O45" s="207"/>
      <c r="P45" s="207"/>
      <c r="Q45" s="211" t="s">
        <v>1</v>
      </c>
      <c r="R45" s="207"/>
      <c r="S45" s="207"/>
      <c r="T45" s="207"/>
      <c r="U45" s="207"/>
      <c r="V45" s="207"/>
    </row>
    <row r="46" spans="2:22" ht="15">
      <c r="B46" s="212" t="s">
        <v>192</v>
      </c>
      <c r="C46" s="294">
        <f>$C$38</f>
        <v>2</v>
      </c>
      <c r="D46" s="294">
        <f>12-C46</f>
        <v>10</v>
      </c>
      <c r="E46" s="293">
        <f>((E31*C46)+(G31*D46))/12</f>
        <v>0.6175</v>
      </c>
      <c r="F46" s="293"/>
      <c r="G46" s="293">
        <f>((G31*C46)+(I31*D46))/12</f>
        <v>0.62</v>
      </c>
      <c r="H46" s="293"/>
      <c r="I46" s="293">
        <f>((I31*C46)+(K31*D46))/12</f>
        <v>0.62</v>
      </c>
      <c r="J46" s="290"/>
      <c r="K46" s="293">
        <f>((K31*C46)+(M31*D46))/12</f>
        <v>0.62</v>
      </c>
      <c r="L46" s="290"/>
      <c r="M46" s="293">
        <f>((M31*C46)+(O31*D46))/12</f>
        <v>0.62</v>
      </c>
      <c r="N46" s="290"/>
      <c r="O46" s="293">
        <f>((O31*C46)+(Q31*D46))/12</f>
        <v>0.62</v>
      </c>
      <c r="P46" s="290"/>
      <c r="Q46" s="293">
        <f>+O46</f>
        <v>0.62</v>
      </c>
      <c r="R46" s="207"/>
      <c r="S46" s="207"/>
      <c r="T46" s="207"/>
      <c r="U46" s="207"/>
      <c r="V46" s="207"/>
    </row>
    <row r="47" spans="2:22" ht="15">
      <c r="B47" s="212" t="s">
        <v>193</v>
      </c>
      <c r="C47" s="294">
        <f>$C$38</f>
        <v>2</v>
      </c>
      <c r="D47" s="294">
        <f>12-C47</f>
        <v>10</v>
      </c>
      <c r="E47" s="293">
        <f>((E32*C47)+(G32*D47))/12</f>
        <v>0.57</v>
      </c>
      <c r="F47" s="293"/>
      <c r="G47" s="293">
        <f>((G32*C47)+(I32*D47))/12</f>
        <v>0.57</v>
      </c>
      <c r="H47" s="293"/>
      <c r="I47" s="293">
        <f>((I32*C47)+(K32*D47))/12</f>
        <v>0.57</v>
      </c>
      <c r="J47" s="290"/>
      <c r="K47" s="293">
        <f>((K32*C47)+(M32*D47))/12</f>
        <v>0.57</v>
      </c>
      <c r="L47" s="290"/>
      <c r="M47" s="293">
        <f>((M32*C47)+(O32*D47))/12</f>
        <v>0.57</v>
      </c>
      <c r="N47" s="290"/>
      <c r="O47" s="293">
        <f>((O32*C47)+(Q32*D47))/12</f>
        <v>0.57</v>
      </c>
      <c r="P47" s="290"/>
      <c r="Q47" s="293">
        <f>+O47</f>
        <v>0.57</v>
      </c>
      <c r="R47" s="207"/>
      <c r="S47" s="207"/>
      <c r="T47" s="207"/>
      <c r="U47" s="207"/>
      <c r="V47" s="207"/>
    </row>
    <row r="48" spans="2:22" ht="15">
      <c r="B48" s="212" t="s">
        <v>194</v>
      </c>
      <c r="C48" s="294">
        <f>$C$38</f>
        <v>2</v>
      </c>
      <c r="D48" s="294">
        <f>12-C48</f>
        <v>10</v>
      </c>
      <c r="E48" s="293">
        <f>((E33*C48)+(G33*D48))/12</f>
        <v>0.30833333333333335</v>
      </c>
      <c r="F48" s="293"/>
      <c r="G48" s="293">
        <f>((G33*C48)+(I33*D48))/12</f>
        <v>0.31</v>
      </c>
      <c r="H48" s="293"/>
      <c r="I48" s="293">
        <f>((I33*C48)+(K33*D48))/12</f>
        <v>0.31</v>
      </c>
      <c r="J48" s="290"/>
      <c r="K48" s="293">
        <f>((K33*C48)+(M33*D48))/12</f>
        <v>0.31</v>
      </c>
      <c r="L48" s="290"/>
      <c r="M48" s="293">
        <f>((M33*C48)+(O33*D48))/12</f>
        <v>0.31</v>
      </c>
      <c r="N48" s="290"/>
      <c r="O48" s="293">
        <f>((O33*C48)+(Q33*D48))/12</f>
        <v>0.31</v>
      </c>
      <c r="P48" s="290"/>
      <c r="Q48" s="293">
        <f>+O48</f>
        <v>0.31</v>
      </c>
      <c r="R48" s="207"/>
      <c r="S48" s="207"/>
      <c r="T48" s="207"/>
      <c r="U48" s="207"/>
      <c r="V48" s="207"/>
    </row>
    <row r="49" spans="3:17" ht="15">
      <c r="C49" s="229"/>
      <c r="D49" s="229"/>
      <c r="E49" s="290"/>
      <c r="F49" s="290"/>
      <c r="G49" s="290"/>
      <c r="H49" s="290"/>
      <c r="I49" s="290"/>
      <c r="J49" s="290"/>
      <c r="K49" s="342" t="s">
        <v>1</v>
      </c>
      <c r="L49" s="290"/>
      <c r="M49" s="342" t="s">
        <v>1</v>
      </c>
      <c r="N49" s="290"/>
      <c r="O49" s="342" t="s">
        <v>1</v>
      </c>
      <c r="P49" s="290"/>
      <c r="Q49" s="342" t="s">
        <v>1</v>
      </c>
    </row>
    <row r="50" spans="2:17" ht="15">
      <c r="B50" s="210" t="s">
        <v>195</v>
      </c>
      <c r="C50" s="229"/>
      <c r="D50" s="229"/>
      <c r="E50" s="290"/>
      <c r="F50" s="290"/>
      <c r="G50" s="290"/>
      <c r="H50" s="290"/>
      <c r="I50" s="290"/>
      <c r="J50" s="290"/>
      <c r="K50" s="342" t="s">
        <v>1</v>
      </c>
      <c r="L50" s="290"/>
      <c r="M50" s="342" t="s">
        <v>1</v>
      </c>
      <c r="N50" s="290"/>
      <c r="O50" s="342" t="s">
        <v>1</v>
      </c>
      <c r="P50" s="290"/>
      <c r="Q50" s="342" t="s">
        <v>1</v>
      </c>
    </row>
    <row r="51" spans="2:17" ht="15">
      <c r="B51" s="81" t="s">
        <v>192</v>
      </c>
      <c r="C51" s="294">
        <f>$C$38</f>
        <v>2</v>
      </c>
      <c r="D51" s="294">
        <f>12-C51</f>
        <v>10</v>
      </c>
      <c r="E51" s="293">
        <f>IF($E$3="FY18",E20,IF($E$3="FY19",G20,IF($E$3="FY20",I20,IF($E$3="FY21",K20,IF($E$3="FY22",M20,IF($E$3="FY23",O20,IF($E$3="FY24",Q20,0)))))))</f>
        <v>0.26</v>
      </c>
      <c r="F51" s="293"/>
      <c r="G51" s="293">
        <f>((G20*C51)+(I20*D51))/12</f>
        <v>0.26</v>
      </c>
      <c r="H51" s="293"/>
      <c r="I51" s="293">
        <f>((I20*C51)+(K20*D51))/12</f>
        <v>0.26</v>
      </c>
      <c r="J51" s="290"/>
      <c r="K51" s="293">
        <f>((K20*C51)+(M20*D51))/12</f>
        <v>0.26</v>
      </c>
      <c r="L51" s="290"/>
      <c r="M51" s="293">
        <f>((M20*C51)+(O20*D51))/12</f>
        <v>0.26</v>
      </c>
      <c r="N51" s="290"/>
      <c r="O51" s="293">
        <f>((O20*C51)+(Q20*D51))/12</f>
        <v>0.26</v>
      </c>
      <c r="P51" s="290"/>
      <c r="Q51" s="293">
        <f>Q20</f>
        <v>0.26</v>
      </c>
    </row>
    <row r="52" spans="2:17" ht="15">
      <c r="B52" s="81" t="s">
        <v>193</v>
      </c>
      <c r="C52" s="294">
        <f>$C$38</f>
        <v>2</v>
      </c>
      <c r="D52" s="294">
        <f>12-C52</f>
        <v>10</v>
      </c>
      <c r="E52" s="293">
        <f>IF($E$3="FY18",E21,IF($E$3="FY19",G21,IF($E$3="FY20",I21,IF($E$3="FY21",K21,IF($E$3="FY22",M21,IF($E$3="FY23",O21,IF($E$3="FY24",Q21,0)))))))</f>
        <v>0.26</v>
      </c>
      <c r="F52" s="293"/>
      <c r="G52" s="293">
        <f>((G21*C52)+(I21*D52))/12</f>
        <v>0.26</v>
      </c>
      <c r="H52" s="293"/>
      <c r="I52" s="293">
        <f>((I21*C52)+(K21*D52))/12</f>
        <v>0.26</v>
      </c>
      <c r="J52" s="290"/>
      <c r="K52" s="293">
        <f>((K21*C52)+(M21*D52))/12</f>
        <v>0.26</v>
      </c>
      <c r="L52" s="290"/>
      <c r="M52" s="293">
        <f>((M21*C52)+(O21*D52))/12</f>
        <v>0.26</v>
      </c>
      <c r="N52" s="290"/>
      <c r="O52" s="293">
        <f>((O21*C52)+(Q21*D52))/12</f>
        <v>0.26</v>
      </c>
      <c r="P52" s="290"/>
      <c r="Q52" s="293">
        <f>Q21</f>
        <v>0.26</v>
      </c>
    </row>
    <row r="53" spans="2:17" ht="15">
      <c r="B53" s="81" t="s">
        <v>194</v>
      </c>
      <c r="C53" s="294">
        <f>$C$38</f>
        <v>2</v>
      </c>
      <c r="D53" s="294">
        <f>12-C53</f>
        <v>10</v>
      </c>
      <c r="E53" s="293">
        <f>IF($E$3="FY18",E22,IF($E$3="FY19",G22,IF($E$3="FY20",I22,IF($E$3="FY21",K22,IF($E$3="FY22",M22,IF($E$3="FY23",O22,IF($E$3="FY24",Q22,0)))))))</f>
        <v>0.26</v>
      </c>
      <c r="F53" s="293"/>
      <c r="G53" s="293">
        <f>((G22*C53)+(I22*D53))/12</f>
        <v>0.26</v>
      </c>
      <c r="H53" s="293"/>
      <c r="I53" s="293">
        <f>((I22*C53)+(K22*D53))/12</f>
        <v>0.26</v>
      </c>
      <c r="J53" s="290"/>
      <c r="K53" s="293">
        <f>((K22*C53)+(M22*D53))/12</f>
        <v>0.26</v>
      </c>
      <c r="L53" s="290"/>
      <c r="M53" s="293">
        <f>((M22*C53)+(O22*D53))/12</f>
        <v>0.26</v>
      </c>
      <c r="N53" s="290"/>
      <c r="O53" s="293">
        <f>((O22*C53)+(Q22*D53))/12</f>
        <v>0.26</v>
      </c>
      <c r="P53" s="290"/>
      <c r="Q53" s="293">
        <f>Q22</f>
        <v>0.26</v>
      </c>
    </row>
    <row r="54" spans="5:17" ht="15">
      <c r="E54" s="229"/>
      <c r="F54" s="229"/>
      <c r="G54" s="229"/>
      <c r="H54" s="229"/>
      <c r="I54" s="229"/>
      <c r="J54" s="229"/>
      <c r="K54" s="229"/>
      <c r="L54" s="229"/>
      <c r="M54" s="229"/>
      <c r="N54" s="229"/>
      <c r="O54" s="229"/>
      <c r="P54" s="229"/>
      <c r="Q54" s="229"/>
    </row>
    <row r="63" ht="17.25">
      <c r="N63" s="226" t="s">
        <v>243</v>
      </c>
    </row>
  </sheetData>
  <sheetProtection/>
  <mergeCells count="1">
    <mergeCell ref="X14:AJ14"/>
  </mergeCell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sheetPr>
    <tabColor rgb="FFFFFF00"/>
  </sheetPr>
  <dimension ref="A1:I39"/>
  <sheetViews>
    <sheetView workbookViewId="0" topLeftCell="A1">
      <pane ySplit="2" topLeftCell="A3" activePane="bottomLeft" state="frozen"/>
      <selection pane="topLeft" activeCell="A1" sqref="A1"/>
      <selection pane="bottomLeft" activeCell="F47" sqref="F47"/>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34"/>
      <c r="B1" s="234"/>
      <c r="C1" s="234"/>
      <c r="D1" s="234"/>
      <c r="E1" s="235" t="s">
        <v>129</v>
      </c>
      <c r="F1" s="236"/>
      <c r="G1" s="237" t="s">
        <v>130</v>
      </c>
      <c r="H1" s="237" t="s">
        <v>131</v>
      </c>
      <c r="I1" s="237" t="s">
        <v>202</v>
      </c>
    </row>
    <row r="2" spans="1:9" ht="15.75">
      <c r="A2" s="255" t="s">
        <v>210</v>
      </c>
      <c r="B2" s="234"/>
      <c r="C2" s="234"/>
      <c r="D2" s="234"/>
      <c r="E2" s="236"/>
      <c r="F2" s="234"/>
      <c r="G2" s="238"/>
      <c r="H2" s="234"/>
      <c r="I2" s="233"/>
    </row>
    <row r="3" spans="1:9" ht="15.75" customHeight="1" hidden="1">
      <c r="A3" s="234"/>
      <c r="B3" s="234"/>
      <c r="C3" s="234"/>
      <c r="D3" s="234"/>
      <c r="E3" s="239" t="s">
        <v>132</v>
      </c>
      <c r="F3" s="239"/>
      <c r="G3" s="240">
        <v>125900</v>
      </c>
      <c r="H3" s="240">
        <v>77476.92307692302</v>
      </c>
      <c r="I3" s="240">
        <v>33896.15384615382</v>
      </c>
    </row>
    <row r="4" spans="1:9" ht="15.75" customHeight="1" hidden="1">
      <c r="A4" s="241" t="s">
        <v>133</v>
      </c>
      <c r="B4" s="242"/>
      <c r="C4" s="243">
        <v>62.6</v>
      </c>
      <c r="D4" s="243"/>
      <c r="E4" s="239" t="s">
        <v>134</v>
      </c>
      <c r="F4" s="239"/>
      <c r="G4" s="240">
        <v>130200</v>
      </c>
      <c r="H4" s="240">
        <v>80123.07692307686</v>
      </c>
      <c r="I4" s="240">
        <v>35053.84615384613</v>
      </c>
    </row>
    <row r="5" spans="1:9" ht="15.75" customHeight="1" hidden="1">
      <c r="A5" s="234"/>
      <c r="B5" s="234"/>
      <c r="C5" s="234"/>
      <c r="D5" s="234"/>
      <c r="E5" s="239"/>
      <c r="F5" s="239"/>
      <c r="G5" s="240"/>
      <c r="H5" s="240"/>
      <c r="I5" s="240"/>
    </row>
    <row r="6" spans="1:9" ht="15.75" customHeight="1" hidden="1">
      <c r="A6" s="234"/>
      <c r="B6" s="234"/>
      <c r="C6" s="234"/>
      <c r="D6" s="234"/>
      <c r="E6" s="236" t="s">
        <v>135</v>
      </c>
      <c r="F6" s="239"/>
      <c r="G6" s="240"/>
      <c r="H6" s="240"/>
      <c r="I6" s="240"/>
    </row>
    <row r="7" spans="1:9" ht="15.75" customHeight="1" hidden="1">
      <c r="A7" s="241" t="s">
        <v>136</v>
      </c>
      <c r="B7" s="242"/>
      <c r="C7" s="243">
        <v>65.72</v>
      </c>
      <c r="D7" s="243"/>
      <c r="E7" s="239" t="s">
        <v>137</v>
      </c>
      <c r="F7" s="239"/>
      <c r="G7" s="240">
        <v>136700</v>
      </c>
      <c r="H7" s="240">
        <v>84123.07692307686</v>
      </c>
      <c r="I7" s="240">
        <v>36803.84615384613</v>
      </c>
    </row>
    <row r="8" spans="1:9" ht="15.75" customHeight="1" hidden="1">
      <c r="A8" s="241" t="s">
        <v>138</v>
      </c>
      <c r="B8" s="242"/>
      <c r="C8" s="243">
        <v>67.93</v>
      </c>
      <c r="D8" s="243"/>
      <c r="E8" s="239" t="s">
        <v>134</v>
      </c>
      <c r="F8" s="239"/>
      <c r="G8" s="240">
        <v>141300</v>
      </c>
      <c r="H8" s="240">
        <v>86953.8461538461</v>
      </c>
      <c r="I8" s="240">
        <v>38042.307692307666</v>
      </c>
    </row>
    <row r="9" spans="1:9" ht="15.75" customHeight="1" hidden="1">
      <c r="A9" s="241" t="s">
        <v>139</v>
      </c>
      <c r="B9" s="242"/>
      <c r="C9" s="328">
        <v>69.76</v>
      </c>
      <c r="D9" s="328"/>
      <c r="E9" s="239"/>
      <c r="F9" s="244"/>
      <c r="G9" s="245"/>
      <c r="H9" s="240"/>
      <c r="I9" s="240"/>
    </row>
    <row r="10" spans="1:9" ht="15.75" customHeight="1" hidden="1">
      <c r="A10" s="246"/>
      <c r="B10" s="246"/>
      <c r="C10" s="246"/>
      <c r="D10" s="246"/>
      <c r="E10" s="236" t="s">
        <v>140</v>
      </c>
      <c r="F10" s="256"/>
      <c r="G10" s="257"/>
      <c r="H10" s="240"/>
      <c r="I10" s="240"/>
    </row>
    <row r="11" spans="1:9" ht="15.75" customHeight="1" hidden="1">
      <c r="A11" s="241" t="s">
        <v>141</v>
      </c>
      <c r="B11" s="242"/>
      <c r="C11" s="243">
        <v>75.48</v>
      </c>
      <c r="D11" s="243"/>
      <c r="E11" s="239" t="s">
        <v>142</v>
      </c>
      <c r="F11" s="239"/>
      <c r="G11" s="240">
        <v>157000</v>
      </c>
      <c r="H11" s="240">
        <v>96615.38461538455</v>
      </c>
      <c r="I11" s="240">
        <v>42269.230769230744</v>
      </c>
    </row>
    <row r="12" spans="1:9" ht="15.75" customHeight="1" hidden="1">
      <c r="A12" s="241" t="s">
        <v>143</v>
      </c>
      <c r="B12" s="242"/>
      <c r="C12" s="243">
        <v>77.5</v>
      </c>
      <c r="D12" s="243"/>
      <c r="E12" s="239" t="s">
        <v>144</v>
      </c>
      <c r="F12" s="239"/>
      <c r="G12" s="240">
        <v>161200</v>
      </c>
      <c r="H12" s="240">
        <v>99199.99999999993</v>
      </c>
      <c r="I12" s="240">
        <v>43399.99999999997</v>
      </c>
    </row>
    <row r="13" spans="1:9" ht="15.75" customHeight="1" hidden="1">
      <c r="A13" s="241" t="s">
        <v>145</v>
      </c>
      <c r="B13" s="242"/>
      <c r="C13" s="243">
        <v>80.14</v>
      </c>
      <c r="D13" s="243"/>
      <c r="E13" s="239" t="s">
        <v>146</v>
      </c>
      <c r="F13" s="247"/>
      <c r="G13" s="240">
        <v>166700</v>
      </c>
      <c r="H13" s="240">
        <v>102584.61538461532</v>
      </c>
      <c r="I13" s="240">
        <v>44880.769230769205</v>
      </c>
    </row>
    <row r="14" spans="1:9" ht="15.75" customHeight="1" hidden="1">
      <c r="A14" s="241" t="s">
        <v>147</v>
      </c>
      <c r="B14" s="242"/>
      <c r="C14" s="243">
        <v>82.64</v>
      </c>
      <c r="D14" s="243"/>
      <c r="E14" s="239" t="s">
        <v>148</v>
      </c>
      <c r="F14" s="247"/>
      <c r="G14" s="240">
        <v>171900</v>
      </c>
      <c r="H14" s="240">
        <v>105784.61538461532</v>
      </c>
      <c r="I14" s="240">
        <v>46280.769230769205</v>
      </c>
    </row>
    <row r="15" spans="1:9" ht="15.75" customHeight="1" hidden="1">
      <c r="A15" s="241" t="s">
        <v>149</v>
      </c>
      <c r="B15" s="242"/>
      <c r="C15" s="243">
        <v>83.89</v>
      </c>
      <c r="D15" s="243"/>
      <c r="E15" s="239" t="s">
        <v>150</v>
      </c>
      <c r="F15" s="247"/>
      <c r="G15" s="240">
        <v>174500</v>
      </c>
      <c r="H15" s="240">
        <v>107384.61538461532</v>
      </c>
      <c r="I15" s="240">
        <v>46980.769230769205</v>
      </c>
    </row>
    <row r="16" spans="1:9" ht="15.75" customHeight="1" hidden="1">
      <c r="A16" s="241" t="s">
        <v>149</v>
      </c>
      <c r="B16" s="242"/>
      <c r="C16" s="243">
        <v>84.47</v>
      </c>
      <c r="D16" s="243"/>
      <c r="E16" s="239" t="s">
        <v>151</v>
      </c>
      <c r="F16" s="247"/>
      <c r="G16" s="240">
        <v>175700</v>
      </c>
      <c r="H16" s="240">
        <v>108123.07692307685</v>
      </c>
      <c r="I16" s="240">
        <v>47303.84615384612</v>
      </c>
    </row>
    <row r="17" spans="1:9" ht="15.75" customHeight="1" hidden="1">
      <c r="A17" s="258"/>
      <c r="B17" s="258"/>
      <c r="C17" s="258"/>
      <c r="D17" s="258"/>
      <c r="E17" s="258"/>
      <c r="F17" s="258"/>
      <c r="G17" s="258"/>
      <c r="H17" s="258"/>
      <c r="I17" s="240"/>
    </row>
    <row r="18" spans="1:9" ht="15.75" customHeight="1" hidden="1">
      <c r="A18" s="241" t="s">
        <v>152</v>
      </c>
      <c r="B18" s="242"/>
      <c r="C18" s="243">
        <v>86.59</v>
      </c>
      <c r="D18" s="243"/>
      <c r="E18" s="239" t="s">
        <v>153</v>
      </c>
      <c r="F18" s="247"/>
      <c r="G18" s="240">
        <v>180100</v>
      </c>
      <c r="H18" s="240">
        <v>110830.76923076916</v>
      </c>
      <c r="I18" s="240">
        <v>48488.46153846151</v>
      </c>
    </row>
    <row r="19" spans="1:9" ht="15.75" customHeight="1" hidden="1">
      <c r="A19" s="241" t="s">
        <v>154</v>
      </c>
      <c r="B19" s="242"/>
      <c r="C19" s="243">
        <v>88.22</v>
      </c>
      <c r="D19" s="243"/>
      <c r="E19" s="239" t="s">
        <v>155</v>
      </c>
      <c r="F19" s="247"/>
      <c r="G19" s="240">
        <v>183500</v>
      </c>
      <c r="H19" s="240">
        <v>112923.07692307685</v>
      </c>
      <c r="I19" s="240">
        <v>49403.84615384612</v>
      </c>
    </row>
    <row r="20" spans="1:9" ht="15.75" customHeight="1" hidden="1">
      <c r="A20" s="241" t="s">
        <v>156</v>
      </c>
      <c r="B20" s="242"/>
      <c r="C20" s="243">
        <v>89.71</v>
      </c>
      <c r="D20" s="243"/>
      <c r="E20" s="239" t="s">
        <v>157</v>
      </c>
      <c r="F20" s="247"/>
      <c r="G20" s="240">
        <v>186600</v>
      </c>
      <c r="H20" s="240">
        <v>114830.76923076916</v>
      </c>
      <c r="I20" s="240">
        <v>50238.46153846151</v>
      </c>
    </row>
    <row r="21" spans="1:9" ht="15" hidden="1">
      <c r="A21" s="241"/>
      <c r="B21" s="251"/>
      <c r="C21" s="243">
        <v>91.97</v>
      </c>
      <c r="D21" s="243"/>
      <c r="E21" s="239" t="s">
        <v>207</v>
      </c>
      <c r="F21" s="247"/>
      <c r="G21" s="240">
        <v>191300</v>
      </c>
      <c r="H21" s="259">
        <f aca="true" t="shared" si="0" ref="H21:H26">G21*0.615384615384615</f>
        <v>117723.07692307685</v>
      </c>
      <c r="I21" s="254">
        <f aca="true" t="shared" si="1" ref="I21:I26">+H21*0.4375</f>
        <v>51503.84615384612</v>
      </c>
    </row>
    <row r="22" spans="1:9" ht="15" hidden="1">
      <c r="A22" s="241"/>
      <c r="B22" s="251"/>
      <c r="C22" s="243">
        <v>94.57</v>
      </c>
      <c r="D22" s="243"/>
      <c r="E22" s="239" t="s">
        <v>205</v>
      </c>
      <c r="F22" s="247"/>
      <c r="G22" s="240">
        <v>196700</v>
      </c>
      <c r="H22" s="259">
        <f t="shared" si="0"/>
        <v>121046.15384615377</v>
      </c>
      <c r="I22" s="254">
        <f t="shared" si="1"/>
        <v>52957.692307692276</v>
      </c>
    </row>
    <row r="23" spans="1:9" ht="15" hidden="1">
      <c r="A23" s="241"/>
      <c r="B23" s="251"/>
      <c r="C23" s="243">
        <v>96.01</v>
      </c>
      <c r="D23" s="243"/>
      <c r="E23" s="239" t="s">
        <v>206</v>
      </c>
      <c r="F23" s="247"/>
      <c r="G23" s="240">
        <v>199700</v>
      </c>
      <c r="H23" s="259">
        <f t="shared" si="0"/>
        <v>122892.30769230762</v>
      </c>
      <c r="I23" s="254">
        <f t="shared" si="1"/>
        <v>53765.38461538458</v>
      </c>
    </row>
    <row r="24" spans="1:9" s="137" customFormat="1" ht="15" hidden="1">
      <c r="A24" s="250"/>
      <c r="B24" s="251"/>
      <c r="C24" s="243">
        <v>86.39</v>
      </c>
      <c r="D24" s="243"/>
      <c r="E24" s="252" t="s">
        <v>211</v>
      </c>
      <c r="F24" s="253"/>
      <c r="G24" s="254">
        <v>179700</v>
      </c>
      <c r="H24" s="259">
        <f t="shared" si="0"/>
        <v>110584.61538461532</v>
      </c>
      <c r="I24" s="254">
        <f t="shared" si="1"/>
        <v>48380.769230769205</v>
      </c>
    </row>
    <row r="25" spans="1:9" s="137" customFormat="1" ht="15" hidden="1">
      <c r="A25" s="250"/>
      <c r="B25" s="251"/>
      <c r="C25" s="243">
        <v>87.26</v>
      </c>
      <c r="D25" s="243"/>
      <c r="E25" s="252" t="s">
        <v>208</v>
      </c>
      <c r="F25" s="253"/>
      <c r="G25" s="254">
        <v>181500</v>
      </c>
      <c r="H25" s="259">
        <f t="shared" si="0"/>
        <v>111692.30769230762</v>
      </c>
      <c r="I25" s="254">
        <f t="shared" si="1"/>
        <v>48865.38461538458</v>
      </c>
    </row>
    <row r="26" spans="1:9" s="137" customFormat="1" ht="15" hidden="1">
      <c r="A26" s="250"/>
      <c r="B26" s="251"/>
      <c r="C26" s="243">
        <f aca="true" t="shared" si="2" ref="C26:C31">SUM((G26/52)/40)</f>
        <v>88.125</v>
      </c>
      <c r="D26" s="243"/>
      <c r="E26" s="252" t="s">
        <v>238</v>
      </c>
      <c r="F26" s="253"/>
      <c r="G26" s="254">
        <v>183300</v>
      </c>
      <c r="H26" s="259">
        <f t="shared" si="0"/>
        <v>112799.99999999993</v>
      </c>
      <c r="I26" s="254">
        <f t="shared" si="1"/>
        <v>49349.99999999997</v>
      </c>
    </row>
    <row r="27" spans="1:9" ht="15.75">
      <c r="A27" s="250"/>
      <c r="B27" s="251"/>
      <c r="C27" s="243">
        <f t="shared" si="2"/>
        <v>89.90384615384616</v>
      </c>
      <c r="D27" s="243"/>
      <c r="E27" s="252" t="s">
        <v>225</v>
      </c>
      <c r="F27" s="253"/>
      <c r="G27" s="254">
        <v>187000</v>
      </c>
      <c r="H27" s="259">
        <f>G27*0.615384615384615</f>
        <v>115076.923076923</v>
      </c>
      <c r="I27" s="254">
        <f>+H27*0.4375</f>
        <v>50346.153846153815</v>
      </c>
    </row>
    <row r="28" spans="1:9" ht="15.75">
      <c r="A28" s="250"/>
      <c r="B28" s="251"/>
      <c r="C28" s="243">
        <f t="shared" si="2"/>
        <v>91.15384615384616</v>
      </c>
      <c r="D28" s="243"/>
      <c r="E28" s="252" t="s">
        <v>228</v>
      </c>
      <c r="F28" s="253"/>
      <c r="G28" s="254">
        <v>189600</v>
      </c>
      <c r="H28" s="259">
        <f>G28*0.615384615384615</f>
        <v>116676.923076923</v>
      </c>
      <c r="I28" s="254">
        <f>+H28*0.4375</f>
        <v>51046.153846153815</v>
      </c>
    </row>
    <row r="29" spans="1:9" ht="15.75">
      <c r="A29" s="250"/>
      <c r="B29" s="251"/>
      <c r="C29" s="243">
        <f t="shared" si="2"/>
        <v>92.45192307692307</v>
      </c>
      <c r="D29" s="243"/>
      <c r="E29" s="252" t="s">
        <v>237</v>
      </c>
      <c r="F29" s="253"/>
      <c r="G29" s="254">
        <v>192300</v>
      </c>
      <c r="H29" s="259">
        <f>G29*0.615384615384615</f>
        <v>118338.46153846146</v>
      </c>
      <c r="I29" s="254">
        <f>+H29*0.4375</f>
        <v>51773.076923076886</v>
      </c>
    </row>
    <row r="30" spans="1:9" ht="15">
      <c r="A30" s="250"/>
      <c r="B30" s="251"/>
      <c r="C30" s="243">
        <f t="shared" si="2"/>
        <v>94.85576923076923</v>
      </c>
      <c r="D30" s="243"/>
      <c r="E30" s="252" t="s">
        <v>241</v>
      </c>
      <c r="F30" s="253"/>
      <c r="G30" s="254">
        <v>197300</v>
      </c>
      <c r="H30" s="259">
        <f>G30*0.615384615384615</f>
        <v>121415.38461538454</v>
      </c>
      <c r="I30" s="254">
        <f>+H30*0.4375</f>
        <v>53119.23076923074</v>
      </c>
    </row>
    <row r="31" spans="1:9" ht="15">
      <c r="A31" s="250"/>
      <c r="B31" s="251"/>
      <c r="C31" s="243">
        <f t="shared" si="2"/>
        <v>95.8173076923077</v>
      </c>
      <c r="D31" s="243"/>
      <c r="E31" s="252" t="s">
        <v>242</v>
      </c>
      <c r="F31" s="253"/>
      <c r="G31" s="254">
        <v>199300</v>
      </c>
      <c r="H31" s="259">
        <f>G31*0.615384615384615</f>
        <v>122646.15384615377</v>
      </c>
      <c r="I31" s="254">
        <f>+H31*0.4375</f>
        <v>53657.692307692276</v>
      </c>
    </row>
    <row r="32" spans="1:9" ht="12" customHeight="1">
      <c r="A32" s="233"/>
      <c r="B32" s="233"/>
      <c r="C32" s="233"/>
      <c r="D32" s="233"/>
      <c r="E32" s="233"/>
      <c r="F32" s="233"/>
      <c r="G32" s="233"/>
      <c r="H32" s="233"/>
      <c r="I32" s="240"/>
    </row>
    <row r="33" spans="1:9" ht="15">
      <c r="A33" s="329" t="s">
        <v>158</v>
      </c>
      <c r="B33" s="330"/>
      <c r="C33" s="330"/>
      <c r="D33" s="330"/>
      <c r="E33" s="330"/>
      <c r="F33" s="330"/>
      <c r="G33" s="331" t="s">
        <v>181</v>
      </c>
      <c r="H33" s="331"/>
      <c r="I33" s="320">
        <f>H31+I31</f>
        <v>176303.84615384604</v>
      </c>
    </row>
    <row r="34" spans="1:9" ht="17.25" customHeight="1">
      <c r="A34" s="330"/>
      <c r="B34" s="330"/>
      <c r="C34" s="330"/>
      <c r="D34" s="330"/>
      <c r="E34" s="330"/>
      <c r="F34" s="330"/>
      <c r="G34" s="332"/>
      <c r="H34" s="332"/>
      <c r="I34" s="321"/>
    </row>
    <row r="35" spans="1:9" ht="15">
      <c r="A35" s="330"/>
      <c r="B35" s="330"/>
      <c r="C35" s="330"/>
      <c r="D35" s="330"/>
      <c r="E35" s="330"/>
      <c r="F35" s="330"/>
      <c r="G35" s="332"/>
      <c r="H35" s="332"/>
      <c r="I35" s="321"/>
    </row>
    <row r="36" spans="1:5" ht="12" customHeight="1">
      <c r="A36" s="231"/>
      <c r="B36" s="232"/>
      <c r="C36" s="232"/>
      <c r="D36" s="284"/>
      <c r="E36" s="285"/>
    </row>
    <row r="37" spans="1:9" ht="12.75" customHeight="1">
      <c r="A37" s="322" t="s">
        <v>159</v>
      </c>
      <c r="B37" s="323"/>
      <c r="C37" s="323"/>
      <c r="D37" s="324"/>
      <c r="E37" s="325"/>
      <c r="F37" s="233"/>
      <c r="G37" s="233"/>
      <c r="H37" s="233"/>
      <c r="I37" s="233"/>
    </row>
    <row r="38" spans="1:9" ht="12.75" customHeight="1">
      <c r="A38" s="233"/>
      <c r="B38" s="233"/>
      <c r="C38" s="233"/>
      <c r="D38" s="249"/>
      <c r="E38" s="249"/>
      <c r="F38" s="233"/>
      <c r="G38" s="233"/>
      <c r="H38" s="233"/>
      <c r="I38" s="233"/>
    </row>
    <row r="39" spans="1:9" ht="15">
      <c r="A39" s="233"/>
      <c r="B39" s="233"/>
      <c r="C39" s="248" t="s">
        <v>160</v>
      </c>
      <c r="D39" s="326">
        <f>D37/33*14</f>
        <v>0</v>
      </c>
      <c r="E39" s="326"/>
      <c r="F39" s="233"/>
      <c r="G39" s="233"/>
      <c r="H39" s="327" t="s">
        <v>243</v>
      </c>
      <c r="I39" s="327"/>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R43"/>
  <sheetViews>
    <sheetView showGridLines="0" workbookViewId="0" topLeftCell="A1">
      <selection activeCell="H11" sqref="H11"/>
    </sheetView>
  </sheetViews>
  <sheetFormatPr defaultColWidth="8.00390625" defaultRowHeight="15.75"/>
  <cols>
    <col min="1" max="6" width="8.00390625" style="99" customWidth="1"/>
    <col min="7" max="8" width="9.375" style="99" customWidth="1"/>
    <col min="9" max="9" width="4.125" style="99" customWidth="1"/>
    <col min="10" max="11" width="9.375" style="99" customWidth="1"/>
    <col min="12" max="12" width="4.125" style="99" customWidth="1"/>
    <col min="13" max="16" width="9.375" style="99" customWidth="1"/>
    <col min="17" max="17" width="4.125" style="99" customWidth="1"/>
    <col min="18" max="19" width="9.375" style="99" customWidth="1"/>
    <col min="20" max="16384" width="8.00390625" style="99" customWidth="1"/>
  </cols>
  <sheetData>
    <row r="1" spans="8:17" ht="11.25">
      <c r="H1" s="100" t="s">
        <v>161</v>
      </c>
      <c r="K1" s="101"/>
      <c r="L1" s="101"/>
      <c r="P1" s="100"/>
      <c r="Q1" s="102"/>
    </row>
    <row r="2" spans="8:17" ht="11.25">
      <c r="H2" s="100" t="s">
        <v>162</v>
      </c>
      <c r="K2" s="101"/>
      <c r="L2" s="101"/>
      <c r="M2" s="101"/>
      <c r="O2" s="100"/>
      <c r="P2" s="100"/>
      <c r="Q2" s="102"/>
    </row>
    <row r="6" spans="1:14" ht="11.25">
      <c r="A6" s="335" t="s">
        <v>163</v>
      </c>
      <c r="B6" s="335"/>
      <c r="C6" s="103"/>
      <c r="D6" s="340" t="s">
        <v>164</v>
      </c>
      <c r="E6" s="341"/>
      <c r="F6" s="104"/>
      <c r="G6" s="335" t="s">
        <v>165</v>
      </c>
      <c r="H6" s="335"/>
      <c r="I6" s="105"/>
      <c r="J6" s="338"/>
      <c r="K6" s="338"/>
      <c r="L6" s="106"/>
      <c r="M6" s="338"/>
      <c r="N6" s="338"/>
    </row>
    <row r="7" spans="1:14" ht="11.25">
      <c r="A7" s="336" t="s">
        <v>166</v>
      </c>
      <c r="B7" s="336"/>
      <c r="C7" s="107"/>
      <c r="D7" s="333" t="s">
        <v>167</v>
      </c>
      <c r="E7" s="334"/>
      <c r="F7" s="104"/>
      <c r="G7" s="336" t="s">
        <v>168</v>
      </c>
      <c r="H7" s="337"/>
      <c r="I7" s="108"/>
      <c r="J7" s="338"/>
      <c r="K7" s="338"/>
      <c r="L7" s="109"/>
      <c r="M7" s="338"/>
      <c r="N7" s="338"/>
    </row>
    <row r="8" spans="1:14" ht="11.25">
      <c r="A8" s="108"/>
      <c r="B8" s="108"/>
      <c r="C8" s="108"/>
      <c r="D8" s="108"/>
      <c r="E8" s="104"/>
      <c r="F8" s="104"/>
      <c r="G8" s="108"/>
      <c r="H8" s="108"/>
      <c r="I8" s="108"/>
      <c r="J8" s="109"/>
      <c r="K8" s="109"/>
      <c r="L8" s="109"/>
      <c r="M8" s="109"/>
      <c r="N8" s="109"/>
    </row>
    <row r="9" spans="1:14" ht="11.25">
      <c r="A9" s="110" t="s">
        <v>169</v>
      </c>
      <c r="B9" s="110" t="s">
        <v>170</v>
      </c>
      <c r="C9" s="105"/>
      <c r="D9" s="110" t="s">
        <v>171</v>
      </c>
      <c r="E9" s="111" t="s">
        <v>123</v>
      </c>
      <c r="F9" s="104"/>
      <c r="G9" s="110" t="s">
        <v>172</v>
      </c>
      <c r="H9" s="110" t="s">
        <v>173</v>
      </c>
      <c r="I9" s="105"/>
      <c r="J9" s="112"/>
      <c r="K9" s="112"/>
      <c r="L9" s="106"/>
      <c r="M9" s="112"/>
      <c r="N9" s="112"/>
    </row>
    <row r="10" spans="3:14" ht="11.25">
      <c r="C10" s="113"/>
      <c r="E10" s="113"/>
      <c r="F10" s="113"/>
      <c r="G10" s="113"/>
      <c r="J10" s="114"/>
      <c r="K10" s="114"/>
      <c r="L10" s="114"/>
      <c r="M10" s="114"/>
      <c r="N10" s="114"/>
    </row>
    <row r="11" spans="1:14" ht="12">
      <c r="A11" s="115">
        <v>1</v>
      </c>
      <c r="B11" s="116">
        <f>15.65*A11/4.3333</f>
        <v>3.6115662428172524</v>
      </c>
      <c r="C11" s="117"/>
      <c r="D11" s="115">
        <f>A11</f>
        <v>1</v>
      </c>
      <c r="E11" s="116">
        <f>36.35*D11/4.3333</f>
        <v>8.38852606558512</v>
      </c>
      <c r="F11" s="114"/>
      <c r="G11" s="118">
        <f>A11</f>
        <v>1</v>
      </c>
      <c r="H11" s="116">
        <f>52*G11/4.3333</f>
        <v>12.00009230840237</v>
      </c>
      <c r="I11" s="115"/>
      <c r="J11" s="119"/>
      <c r="K11" s="120"/>
      <c r="L11" s="121"/>
      <c r="M11" s="119"/>
      <c r="N11" s="117"/>
    </row>
    <row r="12" spans="1:14" ht="12.75" thickBot="1">
      <c r="A12" s="122"/>
      <c r="B12" s="123"/>
      <c r="C12" s="124"/>
      <c r="D12" s="122"/>
      <c r="E12" s="125"/>
      <c r="F12" s="125"/>
      <c r="G12" s="122"/>
      <c r="H12" s="123"/>
      <c r="I12" s="122"/>
      <c r="J12" s="126"/>
      <c r="K12" s="126"/>
      <c r="L12" s="126"/>
      <c r="M12" s="126"/>
      <c r="N12" s="127"/>
    </row>
    <row r="13" spans="8:18" ht="11.25">
      <c r="H13" s="128"/>
      <c r="N13" s="128"/>
      <c r="R13" s="128"/>
    </row>
    <row r="14" spans="1:16" ht="11.25">
      <c r="A14" s="129" t="s">
        <v>174</v>
      </c>
      <c r="B14" s="130"/>
      <c r="C14" s="130"/>
      <c r="D14" s="130"/>
      <c r="E14" s="130"/>
      <c r="F14" s="130"/>
      <c r="G14" s="129"/>
      <c r="H14" s="129"/>
      <c r="I14" s="129"/>
      <c r="J14" s="129"/>
      <c r="K14" s="130"/>
      <c r="L14" s="130"/>
      <c r="M14" s="129"/>
      <c r="N14" s="129"/>
      <c r="O14" s="130"/>
      <c r="P14" s="129"/>
    </row>
    <row r="15" spans="1:16" ht="11.25">
      <c r="A15" s="129"/>
      <c r="B15" s="130"/>
      <c r="C15" s="130"/>
      <c r="D15" s="130"/>
      <c r="E15" s="130"/>
      <c r="F15" s="130"/>
      <c r="G15" s="129"/>
      <c r="H15" s="129"/>
      <c r="I15" s="129"/>
      <c r="J15" s="129"/>
      <c r="K15" s="130"/>
      <c r="L15" s="130"/>
      <c r="M15" s="129"/>
      <c r="N15" s="129"/>
      <c r="O15" s="130"/>
      <c r="P15" s="129"/>
    </row>
    <row r="16" spans="1:16" ht="11.25">
      <c r="A16" s="129" t="s">
        <v>175</v>
      </c>
      <c r="B16" s="130"/>
      <c r="C16" s="130"/>
      <c r="D16" s="130"/>
      <c r="E16" s="130"/>
      <c r="F16" s="130"/>
      <c r="G16" s="129"/>
      <c r="H16" s="129"/>
      <c r="I16" s="129"/>
      <c r="J16" s="129"/>
      <c r="K16" s="130"/>
      <c r="L16" s="130"/>
      <c r="M16" s="129"/>
      <c r="N16" s="129"/>
      <c r="O16" s="130"/>
      <c r="P16" s="129"/>
    </row>
    <row r="17" spans="1:16" ht="11.25">
      <c r="A17" s="129" t="s">
        <v>176</v>
      </c>
      <c r="B17" s="130"/>
      <c r="C17" s="130"/>
      <c r="D17" s="130"/>
      <c r="E17" s="130"/>
      <c r="F17" s="130"/>
      <c r="G17" s="129"/>
      <c r="H17" s="129"/>
      <c r="I17" s="129"/>
      <c r="J17" s="129"/>
      <c r="K17" s="130"/>
      <c r="L17" s="130"/>
      <c r="M17" s="129"/>
      <c r="N17" s="129"/>
      <c r="O17" s="130"/>
      <c r="P17" s="129"/>
    </row>
    <row r="18" spans="2:15" ht="11.25">
      <c r="B18" s="128"/>
      <c r="C18" s="128"/>
      <c r="D18" s="128"/>
      <c r="E18" s="128"/>
      <c r="F18" s="128"/>
      <c r="K18" s="128"/>
      <c r="L18" s="128"/>
      <c r="O18" s="128"/>
    </row>
    <row r="19" spans="2:15" ht="11.25">
      <c r="B19" s="128"/>
      <c r="C19" s="128"/>
      <c r="D19" s="128"/>
      <c r="E19" s="128"/>
      <c r="F19" s="128"/>
      <c r="K19" s="128"/>
      <c r="L19" s="128"/>
      <c r="O19" s="128"/>
    </row>
    <row r="20" spans="1:15" ht="11.25">
      <c r="A20" s="131"/>
      <c r="K20" s="128"/>
      <c r="L20" s="128"/>
      <c r="O20" s="128"/>
    </row>
    <row r="21" spans="1:15" ht="11.25">
      <c r="A21" s="131"/>
      <c r="K21" s="128"/>
      <c r="L21" s="128"/>
      <c r="O21" s="128"/>
    </row>
    <row r="22" spans="1:15" ht="11.25">
      <c r="A22" s="131"/>
      <c r="K22" s="128"/>
      <c r="L22" s="128"/>
      <c r="O22" s="128"/>
    </row>
    <row r="23" spans="1:11" ht="11.25">
      <c r="A23" s="131"/>
      <c r="D23" s="131"/>
      <c r="E23" s="131"/>
      <c r="K23" s="128"/>
    </row>
    <row r="24" spans="1:11" ht="11.25">
      <c r="A24" s="131"/>
      <c r="D24" s="131"/>
      <c r="E24" s="131"/>
      <c r="K24" s="128"/>
    </row>
    <row r="25" spans="1:11" ht="11.25">
      <c r="A25" s="131"/>
      <c r="D25" s="131"/>
      <c r="E25" s="131"/>
      <c r="K25" s="128"/>
    </row>
    <row r="26" spans="1:15" ht="11.25">
      <c r="A26" s="131"/>
      <c r="K26" s="128"/>
      <c r="L26" s="128"/>
      <c r="O26" s="128"/>
    </row>
    <row r="27" spans="1:15" ht="11.25">
      <c r="A27" s="131"/>
      <c r="K27" s="128"/>
      <c r="L27" s="128"/>
      <c r="O27" s="128"/>
    </row>
    <row r="28" spans="1:15" ht="11.25">
      <c r="A28" s="131"/>
      <c r="K28" s="128"/>
      <c r="L28" s="128"/>
      <c r="O28" s="128"/>
    </row>
    <row r="29" spans="1:15" ht="11.25">
      <c r="A29" s="132"/>
      <c r="K29" s="128"/>
      <c r="L29" s="128"/>
      <c r="O29" s="128"/>
    </row>
    <row r="31" ht="12.75">
      <c r="C31" s="133"/>
    </row>
    <row r="32" ht="12.75">
      <c r="C32" s="133"/>
    </row>
    <row r="33" ht="12.75">
      <c r="C33" s="133"/>
    </row>
    <row r="34" spans="1:15" ht="11.25">
      <c r="A34" s="134"/>
      <c r="B34" s="132"/>
      <c r="C34" s="132"/>
      <c r="D34" s="132"/>
      <c r="E34" s="132"/>
      <c r="F34" s="132"/>
      <c r="K34" s="128"/>
      <c r="L34" s="128"/>
      <c r="O34" s="128"/>
    </row>
    <row r="35" spans="1:12" ht="12.75">
      <c r="A35" s="132"/>
      <c r="C35" s="133"/>
      <c r="D35" s="133"/>
      <c r="E35" s="133"/>
      <c r="F35" s="135"/>
      <c r="G35" s="133"/>
      <c r="H35" s="133"/>
      <c r="I35" s="133"/>
      <c r="J35" s="133"/>
      <c r="K35" s="133"/>
      <c r="L35" s="128"/>
    </row>
    <row r="36" spans="1:11" ht="12.75">
      <c r="A36" s="132"/>
      <c r="C36" s="133"/>
      <c r="D36" s="133"/>
      <c r="E36" s="133"/>
      <c r="F36" s="133"/>
      <c r="G36" s="133"/>
      <c r="H36" s="133"/>
      <c r="I36" s="133"/>
      <c r="J36" s="133"/>
      <c r="K36" s="133"/>
    </row>
    <row r="37" spans="3:11" ht="12.75">
      <c r="C37" s="133"/>
      <c r="D37" s="133"/>
      <c r="E37" s="133"/>
      <c r="F37" s="133"/>
      <c r="G37" s="133"/>
      <c r="H37" s="133"/>
      <c r="I37" s="133"/>
      <c r="J37" s="133"/>
      <c r="K37" s="133"/>
    </row>
    <row r="40" spans="3:11" ht="12.75">
      <c r="C40" s="133"/>
      <c r="D40" s="133"/>
      <c r="E40" s="133"/>
      <c r="F40" s="133"/>
      <c r="G40" s="133"/>
      <c r="H40" s="133"/>
      <c r="I40" s="133"/>
      <c r="J40" s="133"/>
      <c r="K40" s="133"/>
    </row>
    <row r="41" spans="3:11" ht="12.75">
      <c r="C41" s="133"/>
      <c r="D41" s="133"/>
      <c r="E41" s="133"/>
      <c r="F41" s="133"/>
      <c r="G41" s="133"/>
      <c r="H41" s="133"/>
      <c r="I41" s="133"/>
      <c r="J41" s="133"/>
      <c r="K41" s="133"/>
    </row>
    <row r="42" spans="3:11" ht="12.75">
      <c r="C42" s="133"/>
      <c r="D42" s="133"/>
      <c r="E42" s="133"/>
      <c r="F42" s="133"/>
      <c r="G42" s="133"/>
      <c r="H42" s="133"/>
      <c r="I42" s="133"/>
      <c r="J42" s="133"/>
      <c r="K42" s="133"/>
    </row>
    <row r="43" spans="12:14" ht="15">
      <c r="L43" s="339"/>
      <c r="M43" s="339"/>
      <c r="N43" s="339"/>
    </row>
  </sheetData>
  <sheetProtection/>
  <mergeCells count="11">
    <mergeCell ref="A6:B6"/>
    <mergeCell ref="A7:B7"/>
    <mergeCell ref="M6:N6"/>
    <mergeCell ref="M7:N7"/>
    <mergeCell ref="D6:E6"/>
    <mergeCell ref="D7:E7"/>
    <mergeCell ref="G6:H6"/>
    <mergeCell ref="G7:H7"/>
    <mergeCell ref="J6:K6"/>
    <mergeCell ref="J7:K7"/>
    <mergeCell ref="L43:N43"/>
  </mergeCells>
  <printOptions horizontalCentered="1"/>
  <pageMargins left="0.5" right="0.3" top="1" bottom="1"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Patrick Clark</cp:lastModifiedBy>
  <cp:lastPrinted>2018-01-26T15:35:36Z</cp:lastPrinted>
  <dcterms:created xsi:type="dcterms:W3CDTF">1997-02-25T19:32:14Z</dcterms:created>
  <dcterms:modified xsi:type="dcterms:W3CDTF">2021-05-07T14:38:45Z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0x0101009571625A4492F547A78F4AC4C600C3A6</vt:lpwstr>
  </property>
  <property fmtid="{D5CDD505-2E9C-101B-9397-08002B2CF9AE}" pid="3" name="MigrationWizIdPermissionLevels">
    <vt:lpwstr/>
  </property>
  <property fmtid="{D5CDD505-2E9C-101B-9397-08002B2CF9AE}" pid="4" name="_ip_UnifiedCompliancePolicyUIAction">
    <vt:lpwstr/>
  </property>
  <property fmtid="{D5CDD505-2E9C-101B-9397-08002B2CF9AE}" pid="5" name="MigrationWizId">
    <vt:lpwstr/>
  </property>
  <property fmtid="{D5CDD505-2E9C-101B-9397-08002B2CF9AE}" pid="6" name="MigrationWizIdPermissions">
    <vt:lpwstr/>
  </property>
  <property fmtid="{D5CDD505-2E9C-101B-9397-08002B2CF9AE}" pid="7" name="_ip_UnifiedCompliancePolicyProperties">
    <vt:lpwstr/>
  </property>
  <property fmtid="{D5CDD505-2E9C-101B-9397-08002B2CF9AE}" pid="8" name="MigrationWizIdSecurityGroups">
    <vt:lpwstr/>
  </property>
  <property fmtid="{D5CDD505-2E9C-101B-9397-08002B2CF9AE}" pid="9" name="MigrationWizIdDocumentLibraryPermissions">
    <vt:lpwstr/>
  </property>
</Properties>
</file>