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RS\Accounting Division\Extra Compensation Files\Extra Compensation 2020AY\"/>
    </mc:Choice>
  </mc:AlternateContent>
  <bookViews>
    <workbookView xWindow="0" yWindow="0" windowWidth="17220" windowHeight="6750" activeTab="2"/>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R9" i="1"/>
  <c r="M9" i="1" l="1"/>
  <c r="P9" i="2" l="1"/>
  <c r="D18" i="1"/>
  <c r="M9" i="2" l="1"/>
  <c r="M8" i="1"/>
  <c r="R8" i="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7" i="4"/>
  <c r="E6" i="4"/>
  <c r="E5" i="4"/>
  <c r="E4" i="4"/>
  <c r="E2" i="4"/>
  <c r="E3" i="4"/>
  <c r="F26" i="2" l="1"/>
  <c r="F25" i="1"/>
  <c r="J26" i="2"/>
  <c r="J25" i="1"/>
  <c r="G25" i="1"/>
  <c r="G26" i="2"/>
  <c r="L25" i="1"/>
  <c r="L26" i="2"/>
  <c r="H26" i="2"/>
  <c r="H25" i="1"/>
  <c r="E26" i="2"/>
  <c r="E25" i="1"/>
  <c r="D25" i="1"/>
  <c r="D26" i="2"/>
  <c r="I26" i="2"/>
  <c r="I25" i="1"/>
  <c r="F9" i="4"/>
  <c r="D9" i="4"/>
  <c r="F8" i="4"/>
  <c r="D8" i="4"/>
  <c r="F7" i="4"/>
  <c r="D7" i="4"/>
  <c r="F6" i="4"/>
  <c r="D6" i="4"/>
  <c r="F5" i="4"/>
  <c r="D5" i="4"/>
  <c r="F4" i="4"/>
  <c r="D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D23" i="2" s="1"/>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F18" i="1"/>
  <c r="T17" i="1"/>
  <c r="T16" i="1"/>
  <c r="N10" i="1"/>
  <c r="I10" i="1"/>
  <c r="J8" i="1" s="1"/>
  <c r="N9" i="1"/>
  <c r="I9" i="1"/>
  <c r="N64" i="1" s="1"/>
  <c r="N8" i="1"/>
  <c r="N5" i="1"/>
  <c r="I18" i="1" l="1"/>
  <c r="J18" i="1" s="1"/>
  <c r="N47" i="1"/>
  <c r="N55" i="1"/>
  <c r="N59" i="1"/>
  <c r="N63" i="1"/>
  <c r="M8" i="2"/>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N19" i="1"/>
  <c r="M19" i="1"/>
  <c r="N18" i="1"/>
  <c r="N35" i="1" s="1"/>
  <c r="Q35" i="1" s="1"/>
  <c r="M18" i="1"/>
  <c r="O18" i="1"/>
  <c r="P18" i="1"/>
  <c r="M26" i="1"/>
  <c r="N26" i="1" s="1"/>
  <c r="I11" i="1"/>
  <c r="F28" i="1" s="1"/>
  <c r="N28" i="1" s="1"/>
  <c r="N36" i="1"/>
  <c r="N38" i="1"/>
  <c r="N40" i="1"/>
  <c r="N42" i="1"/>
  <c r="N44" i="1"/>
  <c r="N46" i="1"/>
  <c r="N48" i="1"/>
  <c r="N50" i="1"/>
  <c r="N52" i="1"/>
  <c r="N54" i="1"/>
  <c r="N56" i="1"/>
  <c r="N58" i="1"/>
  <c r="N60" i="1"/>
  <c r="N62" i="1"/>
  <c r="O6" i="1" l="1"/>
  <c r="N19" i="2"/>
  <c r="N36" i="2"/>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O7" i="2"/>
  <c r="Q36" i="2"/>
  <c r="R36" i="2" s="1"/>
  <c r="C33" i="2"/>
  <c r="M20" i="2"/>
  <c r="P20" i="2"/>
  <c r="O20" i="2"/>
  <c r="N20" i="2"/>
  <c r="N37" i="2" s="1"/>
  <c r="Q41" i="2" s="1"/>
  <c r="R41" i="2" s="1"/>
  <c r="F33" i="2"/>
  <c r="P33" i="2" s="1"/>
  <c r="R49" i="1" l="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D19" i="1"/>
  <c r="D22" i="1" l="1"/>
  <c r="M6" i="1"/>
  <c r="F32" i="1" s="1"/>
  <c r="P32" i="1" s="1"/>
  <c r="M7" i="1"/>
  <c r="C32" i="1" s="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authors>
    <author>ferrelvs</author>
    <author>D Provine</author>
    <author>UC User</author>
    <author>John G Ungruhe</author>
  </authors>
  <commentList>
    <comment ref="M1" authorId="0" shapeId="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text>
        <r>
          <rPr>
            <b/>
            <sz val="10"/>
            <color indexed="81"/>
            <rFont val="Tahoma"/>
            <family val="2"/>
          </rPr>
          <t xml:space="preserve">Please provide faculty's full name per R/3 PA20. </t>
        </r>
      </text>
    </comment>
    <comment ref="D5" authorId="1" shapeId="0">
      <text>
        <r>
          <rPr>
            <b/>
            <sz val="9"/>
            <color indexed="81"/>
            <rFont val="Tahoma"/>
            <family val="2"/>
          </rPr>
          <t>Enter the M# for example M00123456</t>
        </r>
      </text>
    </comment>
    <comment ref="H5" authorId="0" shapeId="0">
      <text>
        <r>
          <rPr>
            <b/>
            <sz val="11"/>
            <color indexed="81"/>
            <rFont val="Tahoma"/>
            <family val="2"/>
          </rPr>
          <t>This field is used for any payment that may have resulted in error.</t>
        </r>
      </text>
    </comment>
    <comment ref="D6" authorId="0" shapeId="0">
      <text>
        <r>
          <rPr>
            <b/>
            <sz val="11"/>
            <color indexed="81"/>
            <rFont val="Tahoma"/>
            <family val="2"/>
          </rPr>
          <t>Provide the department Name</t>
        </r>
        <r>
          <rPr>
            <sz val="11"/>
            <color indexed="81"/>
            <rFont val="Tahoma"/>
            <family val="2"/>
          </rPr>
          <t xml:space="preserve">
</t>
        </r>
      </text>
    </comment>
    <comment ref="H6" authorId="0" shapeId="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text>
        <r>
          <rPr>
            <sz val="9"/>
            <color indexed="81"/>
            <rFont val="Tahoma"/>
            <family val="2"/>
          </rPr>
          <t>This formula only applies to individuals with only active NSF awards submitted on or after 1/5/2009.
Otherwise, request a replacement worksheet.</t>
        </r>
      </text>
    </comment>
    <comment ref="H7" authorId="0" shapeId="0">
      <text>
        <r>
          <rPr>
            <b/>
            <sz val="11"/>
            <color indexed="81"/>
            <rFont val="Tahoma"/>
            <family val="2"/>
          </rPr>
          <t>Enter any payment received for SUMMER Teaching. Remember the period may be for more than one month. Total should equal payment * # of months.</t>
        </r>
      </text>
    </comment>
    <comment ref="D8" authorId="0" shapeId="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text>
        <r>
          <rPr>
            <b/>
            <sz val="8"/>
            <color indexed="81"/>
            <rFont val="Tahoma"/>
            <family val="2"/>
          </rPr>
          <t>UC User:</t>
        </r>
        <r>
          <rPr>
            <sz val="8"/>
            <color indexed="81"/>
            <rFont val="Tahoma"/>
            <family val="2"/>
          </rPr>
          <t xml:space="preserve">
Insert Hours in this column </t>
        </r>
      </text>
    </comment>
    <comment ref="J16" authorId="1" shapeId="0">
      <text>
        <r>
          <rPr>
            <sz val="9"/>
            <color indexed="81"/>
            <rFont val="Tahoma"/>
            <family val="2"/>
          </rPr>
          <t>This the default rate used</t>
        </r>
      </text>
    </comment>
    <comment ref="C18" authorId="0" shapeId="0">
      <text>
        <r>
          <rPr>
            <b/>
            <sz val="11"/>
            <color indexed="81"/>
            <rFont val="Tahoma"/>
            <family val="2"/>
          </rPr>
          <t>Enter the Date the UC SAP Base Salary effective date</t>
        </r>
      </text>
    </comment>
    <comment ref="D18"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text>
        <r>
          <rPr>
            <b/>
            <sz val="11"/>
            <color indexed="81"/>
            <rFont val="Tahoma"/>
            <family val="2"/>
          </rPr>
          <t>The actual base salary as reported in UC FLX on their PA20</t>
        </r>
      </text>
    </comment>
    <comment ref="G18" authorId="0" shapeId="0">
      <text>
        <r>
          <rPr>
            <b/>
            <sz val="11"/>
            <color indexed="81"/>
            <rFont val="Tahoma"/>
            <family val="2"/>
          </rPr>
          <t>This reflects any recurring payments received for additional administrative duties. For example OADM for Department Head Administrative duties.</t>
        </r>
      </text>
    </comment>
    <comment ref="C19" authorId="0" shapeId="0">
      <text>
        <r>
          <rPr>
            <b/>
            <sz val="11"/>
            <color indexed="81"/>
            <rFont val="Tahoma"/>
            <family val="2"/>
          </rPr>
          <t>Complete a new row for each pay increase (Only after the effective date)  See R/3 PA20.</t>
        </r>
      </text>
    </comment>
    <comment ref="D19"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text>
        <r>
          <rPr>
            <b/>
            <sz val="11"/>
            <color indexed="81"/>
            <rFont val="Tahoma"/>
            <family val="2"/>
          </rPr>
          <t>The actual base salary as reported in UC FLX on their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text>
        <r>
          <rPr>
            <b/>
            <sz val="11"/>
            <color indexed="81"/>
            <rFont val="Tahoma"/>
            <family val="2"/>
          </rPr>
          <t>The actual base salary as reported in UC FLX on their PA20</t>
        </r>
      </text>
    </comment>
    <comment ref="G20" authorId="0" shapeId="0">
      <text>
        <r>
          <rPr>
            <b/>
            <sz val="11"/>
            <color indexed="81"/>
            <rFont val="Tahoma"/>
            <family val="2"/>
          </rPr>
          <t>This reflects any recurring payments received for additional administrative duties. For example OADM for Department Head Administrative duties.</t>
        </r>
      </text>
    </comment>
    <comment ref="C21" authorId="0" shapeId="0">
      <text>
        <r>
          <rPr>
            <b/>
            <sz val="11"/>
            <color indexed="81"/>
            <rFont val="Tahoma"/>
            <family val="2"/>
          </rPr>
          <t>Complete a new row for each pay increase (Only after the effective date)  See R/3 PA20.</t>
        </r>
      </text>
    </comment>
    <comment ref="D21"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text>
        <r>
          <rPr>
            <b/>
            <sz val="11"/>
            <color indexed="81"/>
            <rFont val="Tahoma"/>
            <family val="2"/>
          </rPr>
          <t>The actual base salary as reported in UC FLX on their PA20</t>
        </r>
      </text>
    </comment>
    <comment ref="G21" authorId="0" shapeId="0">
      <text>
        <r>
          <rPr>
            <b/>
            <sz val="11"/>
            <color indexed="81"/>
            <rFont val="Tahoma"/>
            <family val="2"/>
          </rPr>
          <t>This reflects any recurring payments received for additional administrative duties. For example OADM for Department Head Administrative duties.</t>
        </r>
      </text>
    </comment>
    <comment ref="B3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text>
        <r>
          <rPr>
            <b/>
            <sz val="11"/>
            <color indexed="81"/>
            <rFont val="Tahoma"/>
            <family val="2"/>
          </rPr>
          <t>Pick respective funding Agency or Regular (All other) if not listed. Corresponds to L(5-10) above</t>
        </r>
      </text>
    </comment>
    <comment ref="D35" authorId="0" shapeId="0">
      <text>
        <r>
          <rPr>
            <b/>
            <sz val="11"/>
            <color indexed="81"/>
            <rFont val="Tahoma"/>
            <family val="2"/>
          </rPr>
          <t>Enter the UC SAP Grant account number. Example 1123456</t>
        </r>
      </text>
    </comment>
    <comment ref="E35" authorId="0" shapeId="0">
      <text>
        <r>
          <rPr>
            <b/>
            <sz val="11"/>
            <color indexed="81"/>
            <rFont val="Tahoma"/>
            <family val="2"/>
          </rPr>
          <t>Enter the start date of the grant/contract  (See R/3 GMGRANTD - General Tab)</t>
        </r>
      </text>
    </comment>
    <comment ref="F35" authorId="0" shapeId="0">
      <text>
        <r>
          <rPr>
            <b/>
            <sz val="11"/>
            <color indexed="81"/>
            <rFont val="Tahoma"/>
            <family val="2"/>
          </rPr>
          <t>Enter the End date of the grant/contract   (See R/3 GMGRANTD - General Tab)</t>
        </r>
      </text>
    </comment>
    <comment ref="J35" authorId="0" shapeId="0">
      <text>
        <r>
          <rPr>
            <b/>
            <sz val="11"/>
            <color indexed="81"/>
            <rFont val="Tahoma"/>
            <family val="2"/>
          </rPr>
          <t>Enter the effort as reported by the EXC LVS</t>
        </r>
      </text>
    </comment>
    <comment ref="L35" authorId="0" shapeId="0">
      <text>
        <r>
          <rPr>
            <b/>
            <sz val="11"/>
            <color indexed="81"/>
            <rFont val="Tahoma"/>
            <family val="2"/>
          </rPr>
          <t>Enter the date you completed the one-time payment PCR</t>
        </r>
      </text>
    </comment>
    <comment ref="M35" authorId="0" shapeId="0">
      <text>
        <r>
          <rPr>
            <b/>
            <sz val="11"/>
            <color indexed="81"/>
            <rFont val="Tahoma"/>
            <family val="2"/>
          </rPr>
          <t>Enter the PCR number generated when you completed the one-time payment PCR</t>
        </r>
      </text>
    </comment>
    <comment ref="N35" authorId="1" shapeId="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text>
        <r>
          <rPr>
            <b/>
            <sz val="11"/>
            <color indexed="81"/>
            <rFont val="Tahoma"/>
            <family val="2"/>
          </rPr>
          <t>Pick respective funding Agency or Regular (All other) if not listed. Corresponds to L(5-10) above</t>
        </r>
      </text>
    </comment>
    <comment ref="D37" authorId="0" shapeId="0">
      <text>
        <r>
          <rPr>
            <b/>
            <sz val="11"/>
            <color indexed="81"/>
            <rFont val="Tahoma"/>
            <family val="2"/>
          </rPr>
          <t>Enter the UC SAP Grant account number. Example 1123456</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J37" authorId="0" shapeId="0">
      <text>
        <r>
          <rPr>
            <b/>
            <sz val="11"/>
            <color indexed="81"/>
            <rFont val="Tahoma"/>
            <family val="2"/>
          </rPr>
          <t>Enter the effort as reported by the EXC LVS</t>
        </r>
      </text>
    </comment>
    <comment ref="L37" authorId="0" shapeId="0">
      <text>
        <r>
          <rPr>
            <b/>
            <sz val="11"/>
            <color indexed="81"/>
            <rFont val="Tahoma"/>
            <family val="2"/>
          </rPr>
          <t>Enter the date you completed the one-time payment PCR</t>
        </r>
      </text>
    </comment>
    <comment ref="M37" authorId="0" shapeId="0">
      <text>
        <r>
          <rPr>
            <b/>
            <sz val="11"/>
            <color indexed="81"/>
            <rFont val="Tahoma"/>
            <family val="2"/>
          </rPr>
          <t>Enter the PCR number generated when you completed the one-time payment PCR</t>
        </r>
      </text>
    </comment>
    <comment ref="B3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text>
        <r>
          <rPr>
            <b/>
            <sz val="11"/>
            <color indexed="81"/>
            <rFont val="Tahoma"/>
            <family val="2"/>
          </rPr>
          <t>Pick respective funding Agency or Regular (All other) if not listed. Corresponds to L(5-10) above</t>
        </r>
      </text>
    </comment>
    <comment ref="D38" authorId="0" shapeId="0">
      <text>
        <r>
          <rPr>
            <b/>
            <sz val="11"/>
            <color indexed="81"/>
            <rFont val="Tahoma"/>
            <family val="2"/>
          </rPr>
          <t>Enter the UC SAP Grant account number. Example 1123456</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J38" authorId="0" shapeId="0">
      <text>
        <r>
          <rPr>
            <b/>
            <sz val="11"/>
            <color indexed="81"/>
            <rFont val="Tahoma"/>
            <family val="2"/>
          </rPr>
          <t>Enter the effort as reported by the EXC LVS</t>
        </r>
      </text>
    </comment>
    <comment ref="L38" authorId="0" shapeId="0">
      <text>
        <r>
          <rPr>
            <b/>
            <sz val="11"/>
            <color indexed="81"/>
            <rFont val="Tahoma"/>
            <family val="2"/>
          </rPr>
          <t>Enter the date you completed the one-time payment PCR</t>
        </r>
      </text>
    </comment>
    <comment ref="M38" authorId="0" shapeId="0">
      <text>
        <r>
          <rPr>
            <b/>
            <sz val="11"/>
            <color indexed="81"/>
            <rFont val="Tahoma"/>
            <family val="2"/>
          </rPr>
          <t>Enter the PCR number generated when you completed the one-time payment PCR</t>
        </r>
      </text>
    </comment>
    <comment ref="B3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text>
        <r>
          <rPr>
            <b/>
            <sz val="11"/>
            <color indexed="81"/>
            <rFont val="Tahoma"/>
            <family val="2"/>
          </rPr>
          <t>Pick respective funding Agency or Regular (All other) if not listed. Corresponds to L(5-10) above</t>
        </r>
      </text>
    </comment>
    <comment ref="D39" authorId="0" shapeId="0">
      <text>
        <r>
          <rPr>
            <b/>
            <sz val="11"/>
            <color indexed="81"/>
            <rFont val="Tahoma"/>
            <family val="2"/>
          </rPr>
          <t>Enter the UC SAP Grant account number. Example 1123456</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J39" authorId="0" shapeId="0">
      <text>
        <r>
          <rPr>
            <b/>
            <sz val="11"/>
            <color indexed="81"/>
            <rFont val="Tahoma"/>
            <family val="2"/>
          </rPr>
          <t>Enter the effort as reported by the EXC LVS</t>
        </r>
      </text>
    </comment>
    <comment ref="L39" authorId="0" shapeId="0">
      <text>
        <r>
          <rPr>
            <b/>
            <sz val="11"/>
            <color indexed="81"/>
            <rFont val="Tahoma"/>
            <family val="2"/>
          </rPr>
          <t>Enter the date you completed the one-time payment PCR</t>
        </r>
      </text>
    </comment>
    <comment ref="M39" authorId="0" shapeId="0">
      <text>
        <r>
          <rPr>
            <b/>
            <sz val="11"/>
            <color indexed="81"/>
            <rFont val="Tahoma"/>
            <family val="2"/>
          </rPr>
          <t>Enter the PCR number generated when you completed the one-time payment PCR</t>
        </r>
      </text>
    </comment>
    <comment ref="B4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text>
        <r>
          <rPr>
            <b/>
            <sz val="11"/>
            <color indexed="81"/>
            <rFont val="Tahoma"/>
            <family val="2"/>
          </rPr>
          <t>Pick respective funding Agency or Regular (All other) if not listed. Corresponds to L(5-10) above</t>
        </r>
      </text>
    </comment>
    <comment ref="D40" authorId="0" shapeId="0">
      <text>
        <r>
          <rPr>
            <b/>
            <sz val="11"/>
            <color indexed="81"/>
            <rFont val="Tahoma"/>
            <family val="2"/>
          </rPr>
          <t>Enter the UC SAP Grant account number. Example 1123456</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J40" authorId="0" shapeId="0">
      <text>
        <r>
          <rPr>
            <b/>
            <sz val="11"/>
            <color indexed="81"/>
            <rFont val="Tahoma"/>
            <family val="2"/>
          </rPr>
          <t>Enter the effort as reported by the EXC LVS</t>
        </r>
      </text>
    </comment>
    <comment ref="L40" authorId="0" shapeId="0">
      <text>
        <r>
          <rPr>
            <b/>
            <sz val="11"/>
            <color indexed="81"/>
            <rFont val="Tahoma"/>
            <family val="2"/>
          </rPr>
          <t>Enter the date you completed the one-time payment PCR</t>
        </r>
      </text>
    </comment>
    <comment ref="M40" authorId="0" shapeId="0">
      <text>
        <r>
          <rPr>
            <b/>
            <sz val="11"/>
            <color indexed="81"/>
            <rFont val="Tahoma"/>
            <family val="2"/>
          </rPr>
          <t>Enter the PCR number generated when you completed the one-time payment PCR</t>
        </r>
      </text>
    </comment>
    <comment ref="B4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text>
        <r>
          <rPr>
            <b/>
            <sz val="11"/>
            <color indexed="81"/>
            <rFont val="Tahoma"/>
            <family val="2"/>
          </rPr>
          <t>Pick respective funding Agency or Regular (All other) if not listed. Corresponds to L(5-10) above</t>
        </r>
      </text>
    </comment>
    <comment ref="D41" authorId="0" shapeId="0">
      <text>
        <r>
          <rPr>
            <b/>
            <sz val="11"/>
            <color indexed="81"/>
            <rFont val="Tahoma"/>
            <family val="2"/>
          </rPr>
          <t>Enter the UC SAP Grant account number. Example 1123456</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J41" authorId="0" shapeId="0">
      <text>
        <r>
          <rPr>
            <b/>
            <sz val="11"/>
            <color indexed="81"/>
            <rFont val="Tahoma"/>
            <family val="2"/>
          </rPr>
          <t>Enter the effort as reported by the EXC LVS</t>
        </r>
      </text>
    </comment>
    <comment ref="L41" authorId="0" shapeId="0">
      <text>
        <r>
          <rPr>
            <b/>
            <sz val="11"/>
            <color indexed="81"/>
            <rFont val="Tahoma"/>
            <family val="2"/>
          </rPr>
          <t>Enter the date you completed the one-time payment PCR</t>
        </r>
      </text>
    </comment>
    <comment ref="M41" authorId="0" shapeId="0">
      <text>
        <r>
          <rPr>
            <b/>
            <sz val="11"/>
            <color indexed="81"/>
            <rFont val="Tahoma"/>
            <family val="2"/>
          </rPr>
          <t>Enter the PCR number generated when you completed the one-time payment PCR</t>
        </r>
      </text>
    </comment>
    <comment ref="B4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text>
        <r>
          <rPr>
            <b/>
            <sz val="11"/>
            <color indexed="81"/>
            <rFont val="Tahoma"/>
            <family val="2"/>
          </rPr>
          <t>Pick respective funding Agency or Regular (All other) if not listed. Corresponds to L(5-10) above</t>
        </r>
      </text>
    </comment>
    <comment ref="D42" authorId="0" shapeId="0">
      <text>
        <r>
          <rPr>
            <b/>
            <sz val="11"/>
            <color indexed="81"/>
            <rFont val="Tahoma"/>
            <family val="2"/>
          </rPr>
          <t>Enter the UC SAP Grant account number. Example 1123456</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 ref="J42" authorId="0" shapeId="0">
      <text>
        <r>
          <rPr>
            <b/>
            <sz val="11"/>
            <color indexed="81"/>
            <rFont val="Tahoma"/>
            <family val="2"/>
          </rPr>
          <t>Enter the effort as reported by the EXC LVS</t>
        </r>
      </text>
    </comment>
    <comment ref="L42" authorId="0" shapeId="0">
      <text>
        <r>
          <rPr>
            <b/>
            <sz val="11"/>
            <color indexed="81"/>
            <rFont val="Tahoma"/>
            <family val="2"/>
          </rPr>
          <t>Enter the date you completed the one-time payment PCR</t>
        </r>
      </text>
    </comment>
    <comment ref="M42" authorId="0" shapeId="0">
      <text>
        <r>
          <rPr>
            <b/>
            <sz val="11"/>
            <color indexed="81"/>
            <rFont val="Tahoma"/>
            <family val="2"/>
          </rPr>
          <t>Enter the PCR number generated when you completed the one-time payment PCR</t>
        </r>
      </text>
    </comment>
    <comment ref="B4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text>
        <r>
          <rPr>
            <b/>
            <sz val="11"/>
            <color indexed="81"/>
            <rFont val="Tahoma"/>
            <family val="2"/>
          </rPr>
          <t>Pick respective funding Agency or Regular (All other) if not listed. Corresponds to L(5-10) above</t>
        </r>
      </text>
    </comment>
    <comment ref="D43" authorId="0" shapeId="0">
      <text>
        <r>
          <rPr>
            <b/>
            <sz val="11"/>
            <color indexed="81"/>
            <rFont val="Tahoma"/>
            <family val="2"/>
          </rPr>
          <t>Enter the UC SAP Grant account number. Example 1123456</t>
        </r>
      </text>
    </comment>
    <comment ref="E43" authorId="0" shapeId="0">
      <text>
        <r>
          <rPr>
            <b/>
            <sz val="11"/>
            <color indexed="81"/>
            <rFont val="Tahoma"/>
            <family val="2"/>
          </rPr>
          <t>Enter the start date of the grant/contract  (See R/3 GMGRANTD - General Tab)</t>
        </r>
      </text>
    </comment>
    <comment ref="F43" authorId="0" shapeId="0">
      <text>
        <r>
          <rPr>
            <b/>
            <sz val="11"/>
            <color indexed="81"/>
            <rFont val="Tahoma"/>
            <family val="2"/>
          </rPr>
          <t>Enter the End date of the grant/contract   (See R/3 GMGRANTD - General Tab)</t>
        </r>
      </text>
    </comment>
    <comment ref="J43" authorId="0" shapeId="0">
      <text>
        <r>
          <rPr>
            <b/>
            <sz val="11"/>
            <color indexed="81"/>
            <rFont val="Tahoma"/>
            <family val="2"/>
          </rPr>
          <t>Enter the effort as reported by the EXC LVS</t>
        </r>
      </text>
    </comment>
    <comment ref="L43" authorId="0" shapeId="0">
      <text>
        <r>
          <rPr>
            <b/>
            <sz val="11"/>
            <color indexed="81"/>
            <rFont val="Tahoma"/>
            <family val="2"/>
          </rPr>
          <t>Enter the date you completed the one-time payment PCR</t>
        </r>
      </text>
    </comment>
    <comment ref="M43" authorId="0" shapeId="0">
      <text>
        <r>
          <rPr>
            <b/>
            <sz val="11"/>
            <color indexed="81"/>
            <rFont val="Tahoma"/>
            <family val="2"/>
          </rPr>
          <t>Enter the PCR number generated when you completed the one-time payment PCR</t>
        </r>
      </text>
    </comment>
    <comment ref="B4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text>
        <r>
          <rPr>
            <b/>
            <sz val="11"/>
            <color indexed="81"/>
            <rFont val="Tahoma"/>
            <family val="2"/>
          </rPr>
          <t>Pick respective funding Agency or Regular (All other) if not listed. Corresponds to L(5-10) above</t>
        </r>
      </text>
    </comment>
    <comment ref="D44" authorId="0" shapeId="0">
      <text>
        <r>
          <rPr>
            <b/>
            <sz val="11"/>
            <color indexed="81"/>
            <rFont val="Tahoma"/>
            <family val="2"/>
          </rPr>
          <t>Enter the UC SAP Grant account number. Example 1123456</t>
        </r>
      </text>
    </comment>
    <comment ref="E44" authorId="0" shapeId="0">
      <text>
        <r>
          <rPr>
            <b/>
            <sz val="11"/>
            <color indexed="81"/>
            <rFont val="Tahoma"/>
            <family val="2"/>
          </rPr>
          <t>Enter the start date of the grant/contract  (See R/3 GMGRANTD - General Tab)</t>
        </r>
      </text>
    </comment>
    <comment ref="F44" authorId="0" shapeId="0">
      <text>
        <r>
          <rPr>
            <b/>
            <sz val="11"/>
            <color indexed="81"/>
            <rFont val="Tahoma"/>
            <family val="2"/>
          </rPr>
          <t>Enter the End date of the grant/contract   (See R/3 GMGRANTD - General Tab)</t>
        </r>
      </text>
    </comment>
    <comment ref="J44" authorId="0" shapeId="0">
      <text>
        <r>
          <rPr>
            <b/>
            <sz val="11"/>
            <color indexed="81"/>
            <rFont val="Tahoma"/>
            <family val="2"/>
          </rPr>
          <t>Enter the effort as reported by the EXC LVS</t>
        </r>
      </text>
    </comment>
    <comment ref="L44" authorId="0" shapeId="0">
      <text>
        <r>
          <rPr>
            <b/>
            <sz val="11"/>
            <color indexed="81"/>
            <rFont val="Tahoma"/>
            <family val="2"/>
          </rPr>
          <t>Enter the date you completed the one-time payment PCR</t>
        </r>
      </text>
    </comment>
    <comment ref="M44" authorId="0" shapeId="0">
      <text>
        <r>
          <rPr>
            <b/>
            <sz val="11"/>
            <color indexed="81"/>
            <rFont val="Tahoma"/>
            <family val="2"/>
          </rPr>
          <t>Enter the PCR number generated when you completed the one-time payment PCR</t>
        </r>
      </text>
    </comment>
    <comment ref="B4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text>
        <r>
          <rPr>
            <b/>
            <sz val="11"/>
            <color indexed="81"/>
            <rFont val="Tahoma"/>
            <family val="2"/>
          </rPr>
          <t>Pick respective funding Agency or Regular (All other) if not listed. Corresponds to L(5-10) above</t>
        </r>
      </text>
    </comment>
    <comment ref="D45" authorId="0" shapeId="0">
      <text>
        <r>
          <rPr>
            <b/>
            <sz val="11"/>
            <color indexed="81"/>
            <rFont val="Tahoma"/>
            <family val="2"/>
          </rPr>
          <t>Enter the UC SAP Grant account number. Example 1123456</t>
        </r>
      </text>
    </comment>
    <comment ref="E45" authorId="0" shapeId="0">
      <text>
        <r>
          <rPr>
            <b/>
            <sz val="11"/>
            <color indexed="81"/>
            <rFont val="Tahoma"/>
            <family val="2"/>
          </rPr>
          <t>Enter the start date of the grant/contract  (See R/3 GMGRANTD - General Tab)</t>
        </r>
      </text>
    </comment>
    <comment ref="F45" authorId="0" shapeId="0">
      <text>
        <r>
          <rPr>
            <b/>
            <sz val="11"/>
            <color indexed="81"/>
            <rFont val="Tahoma"/>
            <family val="2"/>
          </rPr>
          <t>Enter the End date of the grant/contract   (See R/3 GMGRANTD - General Tab)</t>
        </r>
      </text>
    </comment>
    <comment ref="J45" authorId="0" shapeId="0">
      <text>
        <r>
          <rPr>
            <b/>
            <sz val="11"/>
            <color indexed="81"/>
            <rFont val="Tahoma"/>
            <family val="2"/>
          </rPr>
          <t>Enter the effort as reported by the EXC LVS</t>
        </r>
      </text>
    </comment>
    <comment ref="L45" authorId="0" shapeId="0">
      <text>
        <r>
          <rPr>
            <b/>
            <sz val="11"/>
            <color indexed="81"/>
            <rFont val="Tahoma"/>
            <family val="2"/>
          </rPr>
          <t>Enter the date you completed the one-time payment PCR</t>
        </r>
      </text>
    </comment>
    <comment ref="M45" authorId="0" shapeId="0">
      <text>
        <r>
          <rPr>
            <b/>
            <sz val="11"/>
            <color indexed="81"/>
            <rFont val="Tahoma"/>
            <family val="2"/>
          </rPr>
          <t>Enter the PCR number generated when you completed the one-time payment PCR</t>
        </r>
      </text>
    </comment>
    <comment ref="B4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text>
        <r>
          <rPr>
            <b/>
            <sz val="11"/>
            <color indexed="81"/>
            <rFont val="Tahoma"/>
            <family val="2"/>
          </rPr>
          <t>Pick respective funding Agency or Regular (All other) if not listed. Corresponds to L(5-10) above</t>
        </r>
      </text>
    </comment>
    <comment ref="D46" authorId="0" shapeId="0">
      <text>
        <r>
          <rPr>
            <b/>
            <sz val="11"/>
            <color indexed="81"/>
            <rFont val="Tahoma"/>
            <family val="2"/>
          </rPr>
          <t>Enter the UC SAP Grant account number. Example 1123456</t>
        </r>
      </text>
    </comment>
    <comment ref="E46" authorId="0" shapeId="0">
      <text>
        <r>
          <rPr>
            <b/>
            <sz val="11"/>
            <color indexed="81"/>
            <rFont val="Tahoma"/>
            <family val="2"/>
          </rPr>
          <t>Enter the start date of the grant/contract  (See R/3 GMGRANTD - General Tab)</t>
        </r>
      </text>
    </comment>
    <comment ref="F46" authorId="0" shapeId="0">
      <text>
        <r>
          <rPr>
            <b/>
            <sz val="11"/>
            <color indexed="81"/>
            <rFont val="Tahoma"/>
            <family val="2"/>
          </rPr>
          <t>Enter the End date of the grant/contract   (See R/3 GMGRANTD - General Tab)</t>
        </r>
      </text>
    </comment>
    <comment ref="J46" authorId="0" shapeId="0">
      <text>
        <r>
          <rPr>
            <b/>
            <sz val="11"/>
            <color indexed="81"/>
            <rFont val="Tahoma"/>
            <family val="2"/>
          </rPr>
          <t>Enter the effort as reported by the EXC LVS</t>
        </r>
      </text>
    </comment>
    <comment ref="L46" authorId="0" shapeId="0">
      <text>
        <r>
          <rPr>
            <b/>
            <sz val="11"/>
            <color indexed="81"/>
            <rFont val="Tahoma"/>
            <family val="2"/>
          </rPr>
          <t>Enter the date you completed the one-time payment PCR</t>
        </r>
      </text>
    </comment>
    <comment ref="M46" authorId="0" shapeId="0">
      <text>
        <r>
          <rPr>
            <b/>
            <sz val="11"/>
            <color indexed="81"/>
            <rFont val="Tahoma"/>
            <family val="2"/>
          </rPr>
          <t>Enter the PCR number generated when you completed the one-time payment PCR</t>
        </r>
      </text>
    </comment>
    <comment ref="B4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text>
        <r>
          <rPr>
            <b/>
            <sz val="11"/>
            <color indexed="81"/>
            <rFont val="Tahoma"/>
            <family val="2"/>
          </rPr>
          <t>Pick respective funding Agency or Regular (All other) if not listed. Corresponds to L(5-10) above</t>
        </r>
      </text>
    </comment>
    <comment ref="D47" authorId="0" shapeId="0">
      <text>
        <r>
          <rPr>
            <b/>
            <sz val="11"/>
            <color indexed="81"/>
            <rFont val="Tahoma"/>
            <family val="2"/>
          </rPr>
          <t>Enter the UC SAP Grant account number. Example 1123456</t>
        </r>
      </text>
    </comment>
    <comment ref="E47" authorId="0" shapeId="0">
      <text>
        <r>
          <rPr>
            <b/>
            <sz val="11"/>
            <color indexed="81"/>
            <rFont val="Tahoma"/>
            <family val="2"/>
          </rPr>
          <t>Enter the start date of the grant/contract  (See R/3 GMGRANTD - General Tab)</t>
        </r>
      </text>
    </comment>
    <comment ref="F47" authorId="0" shapeId="0">
      <text>
        <r>
          <rPr>
            <b/>
            <sz val="11"/>
            <color indexed="81"/>
            <rFont val="Tahoma"/>
            <family val="2"/>
          </rPr>
          <t>Enter the End date of the grant/contract   (See R/3 GMGRANTD - General Tab)</t>
        </r>
      </text>
    </comment>
    <comment ref="J47" authorId="0" shapeId="0">
      <text>
        <r>
          <rPr>
            <b/>
            <sz val="11"/>
            <color indexed="81"/>
            <rFont val="Tahoma"/>
            <family val="2"/>
          </rPr>
          <t>Enter the effort as reported by the EXC LVS</t>
        </r>
      </text>
    </comment>
    <comment ref="L47" authorId="0" shapeId="0">
      <text>
        <r>
          <rPr>
            <b/>
            <sz val="11"/>
            <color indexed="81"/>
            <rFont val="Tahoma"/>
            <family val="2"/>
          </rPr>
          <t>Enter the date you completed the one-time payment PCR</t>
        </r>
      </text>
    </comment>
    <comment ref="M47" authorId="0" shapeId="0">
      <text>
        <r>
          <rPr>
            <b/>
            <sz val="11"/>
            <color indexed="81"/>
            <rFont val="Tahoma"/>
            <family val="2"/>
          </rPr>
          <t>Enter the PCR number generated when you completed the one-time payment PCR</t>
        </r>
      </text>
    </comment>
    <comment ref="B4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text>
        <r>
          <rPr>
            <b/>
            <sz val="11"/>
            <color indexed="81"/>
            <rFont val="Tahoma"/>
            <family val="2"/>
          </rPr>
          <t>Pick respective funding Agency or Regular (All other) if not listed. Corresponds to L(5-10) above</t>
        </r>
      </text>
    </comment>
    <comment ref="D48" authorId="0" shapeId="0">
      <text>
        <r>
          <rPr>
            <b/>
            <sz val="11"/>
            <color indexed="81"/>
            <rFont val="Tahoma"/>
            <family val="2"/>
          </rPr>
          <t>Enter the UC SAP Grant account number. Example 1123456</t>
        </r>
      </text>
    </comment>
    <comment ref="E48" authorId="0" shapeId="0">
      <text>
        <r>
          <rPr>
            <b/>
            <sz val="11"/>
            <color indexed="81"/>
            <rFont val="Tahoma"/>
            <family val="2"/>
          </rPr>
          <t>Enter the start date of the grant/contract  (See R/3 GMGRANTD - General Tab)</t>
        </r>
      </text>
    </comment>
    <comment ref="F48" authorId="0" shapeId="0">
      <text>
        <r>
          <rPr>
            <b/>
            <sz val="11"/>
            <color indexed="81"/>
            <rFont val="Tahoma"/>
            <family val="2"/>
          </rPr>
          <t>Enter the End date of the grant/contract   (See R/3 GMGRANTD - General Tab)</t>
        </r>
      </text>
    </comment>
    <comment ref="J48" authorId="0" shapeId="0">
      <text>
        <r>
          <rPr>
            <b/>
            <sz val="11"/>
            <color indexed="81"/>
            <rFont val="Tahoma"/>
            <family val="2"/>
          </rPr>
          <t>Enter the effort as reported by the EXC LVS</t>
        </r>
      </text>
    </comment>
    <comment ref="L48" authorId="0" shapeId="0">
      <text>
        <r>
          <rPr>
            <b/>
            <sz val="11"/>
            <color indexed="81"/>
            <rFont val="Tahoma"/>
            <family val="2"/>
          </rPr>
          <t>Enter the date you completed the one-time payment PCR</t>
        </r>
      </text>
    </comment>
    <comment ref="M48" authorId="0" shapeId="0">
      <text>
        <r>
          <rPr>
            <b/>
            <sz val="11"/>
            <color indexed="81"/>
            <rFont val="Tahoma"/>
            <family val="2"/>
          </rPr>
          <t>Enter the PCR number generated when you completed the one-time payment PCR</t>
        </r>
      </text>
    </comment>
    <comment ref="B4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text>
        <r>
          <rPr>
            <b/>
            <sz val="11"/>
            <color indexed="81"/>
            <rFont val="Tahoma"/>
            <family val="2"/>
          </rPr>
          <t>Pick respective funding Agency or Regular (All other) if not listed. Corresponds to L(5-10) above</t>
        </r>
      </text>
    </comment>
    <comment ref="D49" authorId="0" shapeId="0">
      <text>
        <r>
          <rPr>
            <b/>
            <sz val="11"/>
            <color indexed="81"/>
            <rFont val="Tahoma"/>
            <family val="2"/>
          </rPr>
          <t>Enter the UC SAP Grant account number. Example 1123456</t>
        </r>
      </text>
    </comment>
    <comment ref="E49" authorId="0" shapeId="0">
      <text>
        <r>
          <rPr>
            <b/>
            <sz val="11"/>
            <color indexed="81"/>
            <rFont val="Tahoma"/>
            <family val="2"/>
          </rPr>
          <t>Enter the start date of the grant/contract  (See R/3 GMGRANTD - General Tab)</t>
        </r>
      </text>
    </comment>
    <comment ref="F49" authorId="0" shapeId="0">
      <text>
        <r>
          <rPr>
            <b/>
            <sz val="11"/>
            <color indexed="81"/>
            <rFont val="Tahoma"/>
            <family val="2"/>
          </rPr>
          <t>Enter the End date of the grant/contract   (See R/3 GMGRANTD - General Tab)</t>
        </r>
      </text>
    </comment>
    <comment ref="J49" authorId="0" shapeId="0">
      <text>
        <r>
          <rPr>
            <b/>
            <sz val="11"/>
            <color indexed="81"/>
            <rFont val="Tahoma"/>
            <family val="2"/>
          </rPr>
          <t>Enter the effort as reported by the EXC LVS</t>
        </r>
      </text>
    </comment>
    <comment ref="L49" authorId="0" shapeId="0">
      <text>
        <r>
          <rPr>
            <b/>
            <sz val="11"/>
            <color indexed="81"/>
            <rFont val="Tahoma"/>
            <family val="2"/>
          </rPr>
          <t>Enter the date you completed the one-time payment PCR</t>
        </r>
      </text>
    </comment>
    <comment ref="M49" authorId="0" shapeId="0">
      <text>
        <r>
          <rPr>
            <b/>
            <sz val="11"/>
            <color indexed="81"/>
            <rFont val="Tahoma"/>
            <family val="2"/>
          </rPr>
          <t>Enter the PCR number generated when you completed the one-time payment PCR</t>
        </r>
      </text>
    </comment>
    <comment ref="B5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text>
        <r>
          <rPr>
            <b/>
            <sz val="11"/>
            <color indexed="81"/>
            <rFont val="Tahoma"/>
            <family val="2"/>
          </rPr>
          <t>Pick respective funding Agency or Regular (All other) if not listed. Corresponds to L(5-10) above</t>
        </r>
      </text>
    </comment>
    <comment ref="D50" authorId="0" shapeId="0">
      <text>
        <r>
          <rPr>
            <b/>
            <sz val="11"/>
            <color indexed="81"/>
            <rFont val="Tahoma"/>
            <family val="2"/>
          </rPr>
          <t>Enter the UC SAP Grant account number. Example 1123456</t>
        </r>
      </text>
    </comment>
    <comment ref="E50" authorId="0" shapeId="0">
      <text>
        <r>
          <rPr>
            <b/>
            <sz val="11"/>
            <color indexed="81"/>
            <rFont val="Tahoma"/>
            <family val="2"/>
          </rPr>
          <t>Enter the start date of the grant/contract  (See R/3 GMGRANTD - General Tab)</t>
        </r>
      </text>
    </comment>
    <comment ref="F50" authorId="0" shapeId="0">
      <text>
        <r>
          <rPr>
            <b/>
            <sz val="11"/>
            <color indexed="81"/>
            <rFont val="Tahoma"/>
            <family val="2"/>
          </rPr>
          <t>Enter the End date of the grant/contract   (See R/3 GMGRANTD - General Tab)</t>
        </r>
      </text>
    </comment>
    <comment ref="J50" authorId="0" shapeId="0">
      <text>
        <r>
          <rPr>
            <b/>
            <sz val="11"/>
            <color indexed="81"/>
            <rFont val="Tahoma"/>
            <family val="2"/>
          </rPr>
          <t>Enter the effort as reported by the EXC LVS</t>
        </r>
      </text>
    </comment>
    <comment ref="L50" authorId="0" shapeId="0">
      <text>
        <r>
          <rPr>
            <b/>
            <sz val="11"/>
            <color indexed="81"/>
            <rFont val="Tahoma"/>
            <family val="2"/>
          </rPr>
          <t>Enter the date you completed the one-time payment PCR</t>
        </r>
      </text>
    </comment>
    <comment ref="M50" authorId="0" shapeId="0">
      <text>
        <r>
          <rPr>
            <b/>
            <sz val="11"/>
            <color indexed="81"/>
            <rFont val="Tahoma"/>
            <family val="2"/>
          </rPr>
          <t>Enter the PCR number generated when you completed the one-time payment PCR</t>
        </r>
      </text>
    </comment>
    <comment ref="B5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text>
        <r>
          <rPr>
            <b/>
            <sz val="11"/>
            <color indexed="81"/>
            <rFont val="Tahoma"/>
            <family val="2"/>
          </rPr>
          <t>Pick respective funding Agency or Regular (All other) if not listed. Corresponds to L(5-10) above</t>
        </r>
      </text>
    </comment>
    <comment ref="D51" authorId="0" shapeId="0">
      <text>
        <r>
          <rPr>
            <b/>
            <sz val="11"/>
            <color indexed="81"/>
            <rFont val="Tahoma"/>
            <family val="2"/>
          </rPr>
          <t>Enter the UC SAP Grant account number. Example 1123456</t>
        </r>
      </text>
    </comment>
    <comment ref="E51" authorId="0" shapeId="0">
      <text>
        <r>
          <rPr>
            <b/>
            <sz val="11"/>
            <color indexed="81"/>
            <rFont val="Tahoma"/>
            <family val="2"/>
          </rPr>
          <t>Enter the start date of the grant/contract  (See R/3 GMGRANTD - General Tab)</t>
        </r>
      </text>
    </comment>
    <comment ref="F51" authorId="0" shapeId="0">
      <text>
        <r>
          <rPr>
            <b/>
            <sz val="11"/>
            <color indexed="81"/>
            <rFont val="Tahoma"/>
            <family val="2"/>
          </rPr>
          <t>Enter the End date of the grant/contract   (See R/3 GMGRANTD - General Tab)</t>
        </r>
      </text>
    </comment>
    <comment ref="J51" authorId="0" shapeId="0">
      <text>
        <r>
          <rPr>
            <b/>
            <sz val="11"/>
            <color indexed="81"/>
            <rFont val="Tahoma"/>
            <family val="2"/>
          </rPr>
          <t>Enter the effort as reported by the EXC LVS</t>
        </r>
      </text>
    </comment>
    <comment ref="L51" authorId="0" shapeId="0">
      <text>
        <r>
          <rPr>
            <b/>
            <sz val="11"/>
            <color indexed="81"/>
            <rFont val="Tahoma"/>
            <family val="2"/>
          </rPr>
          <t>Enter the date you completed the one-time payment PCR</t>
        </r>
      </text>
    </comment>
    <comment ref="M51" authorId="0" shapeId="0">
      <text>
        <r>
          <rPr>
            <b/>
            <sz val="11"/>
            <color indexed="81"/>
            <rFont val="Tahoma"/>
            <family val="2"/>
          </rPr>
          <t>Enter the PCR number generated when you completed the one-time payment PCR</t>
        </r>
      </text>
    </comment>
    <comment ref="B5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text>
        <r>
          <rPr>
            <b/>
            <sz val="11"/>
            <color indexed="81"/>
            <rFont val="Tahoma"/>
            <family val="2"/>
          </rPr>
          <t>Pick respective funding Agency or Regular (All other) if not listed. Corresponds to L(5-10) above</t>
        </r>
      </text>
    </comment>
    <comment ref="D52" authorId="0" shapeId="0">
      <text>
        <r>
          <rPr>
            <b/>
            <sz val="11"/>
            <color indexed="81"/>
            <rFont val="Tahoma"/>
            <family val="2"/>
          </rPr>
          <t>Enter the UC SAP Grant account number. Example 1123456</t>
        </r>
      </text>
    </comment>
    <comment ref="E52" authorId="0" shapeId="0">
      <text>
        <r>
          <rPr>
            <b/>
            <sz val="11"/>
            <color indexed="81"/>
            <rFont val="Tahoma"/>
            <family val="2"/>
          </rPr>
          <t>Enter the start date of the grant/contract  (See R/3 GMGRANTD - General Tab)</t>
        </r>
      </text>
    </comment>
    <comment ref="F52" authorId="0" shapeId="0">
      <text>
        <r>
          <rPr>
            <b/>
            <sz val="11"/>
            <color indexed="81"/>
            <rFont val="Tahoma"/>
            <family val="2"/>
          </rPr>
          <t>Enter the End date of the grant/contract   (See R/3 GMGRANTD - General Tab)</t>
        </r>
      </text>
    </comment>
    <comment ref="J52" authorId="0" shapeId="0">
      <text>
        <r>
          <rPr>
            <b/>
            <sz val="11"/>
            <color indexed="81"/>
            <rFont val="Tahoma"/>
            <family val="2"/>
          </rPr>
          <t>Enter the effort as reported by the EXC LVS</t>
        </r>
      </text>
    </comment>
    <comment ref="L52" authorId="0" shapeId="0">
      <text>
        <r>
          <rPr>
            <b/>
            <sz val="11"/>
            <color indexed="81"/>
            <rFont val="Tahoma"/>
            <family val="2"/>
          </rPr>
          <t>Enter the date you completed the one-time payment PCR</t>
        </r>
      </text>
    </comment>
    <comment ref="M52" authorId="0" shapeId="0">
      <text>
        <r>
          <rPr>
            <b/>
            <sz val="11"/>
            <color indexed="81"/>
            <rFont val="Tahoma"/>
            <family val="2"/>
          </rPr>
          <t>Enter the PCR number generated when you completed the one-time payment PCR</t>
        </r>
      </text>
    </comment>
    <comment ref="B5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text>
        <r>
          <rPr>
            <b/>
            <sz val="11"/>
            <color indexed="81"/>
            <rFont val="Tahoma"/>
            <family val="2"/>
          </rPr>
          <t>Pick respective funding Agency or Regular (All other) if not listed. Corresponds to L(5-10) above</t>
        </r>
      </text>
    </comment>
    <comment ref="D53" authorId="0" shapeId="0">
      <text>
        <r>
          <rPr>
            <b/>
            <sz val="11"/>
            <color indexed="81"/>
            <rFont val="Tahoma"/>
            <family val="2"/>
          </rPr>
          <t>Enter the UC SAP Grant account number. Example 1123456</t>
        </r>
      </text>
    </comment>
    <comment ref="E53" authorId="0" shapeId="0">
      <text>
        <r>
          <rPr>
            <b/>
            <sz val="11"/>
            <color indexed="81"/>
            <rFont val="Tahoma"/>
            <family val="2"/>
          </rPr>
          <t>Enter the start date of the grant/contract  (See R/3 GMGRANTD - General Tab)</t>
        </r>
      </text>
    </comment>
    <comment ref="F53" authorId="0" shapeId="0">
      <text>
        <r>
          <rPr>
            <b/>
            <sz val="11"/>
            <color indexed="81"/>
            <rFont val="Tahoma"/>
            <family val="2"/>
          </rPr>
          <t>Enter the End date of the grant/contract   (See R/3 GMGRANTD - General Tab)</t>
        </r>
      </text>
    </comment>
    <comment ref="J53" authorId="0" shapeId="0">
      <text>
        <r>
          <rPr>
            <b/>
            <sz val="11"/>
            <color indexed="81"/>
            <rFont val="Tahoma"/>
            <family val="2"/>
          </rPr>
          <t>Enter the effort as reported by the EXC LVS</t>
        </r>
      </text>
    </comment>
    <comment ref="L53" authorId="0" shapeId="0">
      <text>
        <r>
          <rPr>
            <b/>
            <sz val="11"/>
            <color indexed="81"/>
            <rFont val="Tahoma"/>
            <family val="2"/>
          </rPr>
          <t>Enter the date you completed the one-time payment PCR</t>
        </r>
      </text>
    </comment>
    <comment ref="M53" authorId="0" shapeId="0">
      <text>
        <r>
          <rPr>
            <b/>
            <sz val="11"/>
            <color indexed="81"/>
            <rFont val="Tahoma"/>
            <family val="2"/>
          </rPr>
          <t>Enter the PCR number generated when you completed the one-time payment PCR</t>
        </r>
      </text>
    </comment>
    <comment ref="B5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text>
        <r>
          <rPr>
            <b/>
            <sz val="11"/>
            <color indexed="81"/>
            <rFont val="Tahoma"/>
            <family val="2"/>
          </rPr>
          <t>Pick respective funding Agency or Regular (All other) if not listed. Corresponds to L(5-10) above</t>
        </r>
      </text>
    </comment>
    <comment ref="D54" authorId="0" shapeId="0">
      <text>
        <r>
          <rPr>
            <b/>
            <sz val="11"/>
            <color indexed="81"/>
            <rFont val="Tahoma"/>
            <family val="2"/>
          </rPr>
          <t>Enter the UC SAP Grant account number. Example 1123456</t>
        </r>
      </text>
    </comment>
    <comment ref="E54" authorId="0" shapeId="0">
      <text>
        <r>
          <rPr>
            <b/>
            <sz val="11"/>
            <color indexed="81"/>
            <rFont val="Tahoma"/>
            <family val="2"/>
          </rPr>
          <t>Enter the start date of the grant/contract  (See R/3 GMGRANTD - General Tab)</t>
        </r>
      </text>
    </comment>
    <comment ref="F54" authorId="0" shapeId="0">
      <text>
        <r>
          <rPr>
            <b/>
            <sz val="11"/>
            <color indexed="81"/>
            <rFont val="Tahoma"/>
            <family val="2"/>
          </rPr>
          <t>Enter the End date of the grant/contract   (See R/3 GMGRANTD - General Tab)</t>
        </r>
      </text>
    </comment>
    <comment ref="J54" authorId="0" shapeId="0">
      <text>
        <r>
          <rPr>
            <b/>
            <sz val="11"/>
            <color indexed="81"/>
            <rFont val="Tahoma"/>
            <family val="2"/>
          </rPr>
          <t>Enter the effort as reported by the EXC LVS</t>
        </r>
      </text>
    </comment>
    <comment ref="L54" authorId="0" shapeId="0">
      <text>
        <r>
          <rPr>
            <b/>
            <sz val="11"/>
            <color indexed="81"/>
            <rFont val="Tahoma"/>
            <family val="2"/>
          </rPr>
          <t>Enter the date you completed the one-time payment PCR</t>
        </r>
      </text>
    </comment>
    <comment ref="M54" authorId="0" shapeId="0">
      <text>
        <r>
          <rPr>
            <b/>
            <sz val="11"/>
            <color indexed="81"/>
            <rFont val="Tahoma"/>
            <family val="2"/>
          </rPr>
          <t>Enter the PCR number generated when you completed the one-time payment PCR</t>
        </r>
      </text>
    </comment>
    <comment ref="B5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text>
        <r>
          <rPr>
            <b/>
            <sz val="11"/>
            <color indexed="81"/>
            <rFont val="Tahoma"/>
            <family val="2"/>
          </rPr>
          <t>Pick respective funding Agency or Regular (All other) if not listed. Corresponds to L(5-10) above</t>
        </r>
      </text>
    </comment>
    <comment ref="D55" authorId="0" shapeId="0">
      <text>
        <r>
          <rPr>
            <b/>
            <sz val="11"/>
            <color indexed="81"/>
            <rFont val="Tahoma"/>
            <family val="2"/>
          </rPr>
          <t>Enter the UC SAP Grant account number. Example 1123456</t>
        </r>
      </text>
    </comment>
    <comment ref="E55" authorId="0" shapeId="0">
      <text>
        <r>
          <rPr>
            <b/>
            <sz val="11"/>
            <color indexed="81"/>
            <rFont val="Tahoma"/>
            <family val="2"/>
          </rPr>
          <t>Enter the start date of the grant/contract  (See R/3 GMGRANTD - General Tab)</t>
        </r>
      </text>
    </comment>
    <comment ref="F55" authorId="0" shapeId="0">
      <text>
        <r>
          <rPr>
            <b/>
            <sz val="11"/>
            <color indexed="81"/>
            <rFont val="Tahoma"/>
            <family val="2"/>
          </rPr>
          <t>Enter the End date of the grant/contract   (See R/3 GMGRANTD - General Tab)</t>
        </r>
      </text>
    </comment>
    <comment ref="J55" authorId="0" shapeId="0">
      <text>
        <r>
          <rPr>
            <b/>
            <sz val="11"/>
            <color indexed="81"/>
            <rFont val="Tahoma"/>
            <family val="2"/>
          </rPr>
          <t>Enter the effort as reported by the EXC LVS</t>
        </r>
      </text>
    </comment>
    <comment ref="L55" authorId="0" shapeId="0">
      <text>
        <r>
          <rPr>
            <b/>
            <sz val="11"/>
            <color indexed="81"/>
            <rFont val="Tahoma"/>
            <family val="2"/>
          </rPr>
          <t>Enter the date you completed the one-time payment PCR</t>
        </r>
      </text>
    </comment>
    <comment ref="M55" authorId="0" shapeId="0">
      <text>
        <r>
          <rPr>
            <b/>
            <sz val="11"/>
            <color indexed="81"/>
            <rFont val="Tahoma"/>
            <family val="2"/>
          </rPr>
          <t>Enter the PCR number generated when you completed the one-time payment PCR</t>
        </r>
      </text>
    </comment>
    <comment ref="B5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text>
        <r>
          <rPr>
            <b/>
            <sz val="11"/>
            <color indexed="81"/>
            <rFont val="Tahoma"/>
            <family val="2"/>
          </rPr>
          <t>Pick respective funding Agency or Regular (All other) if not listed. Corresponds to L(5-10) above</t>
        </r>
      </text>
    </comment>
    <comment ref="D56" authorId="0" shapeId="0">
      <text>
        <r>
          <rPr>
            <b/>
            <sz val="11"/>
            <color indexed="81"/>
            <rFont val="Tahoma"/>
            <family val="2"/>
          </rPr>
          <t>Enter the UC SAP Grant account number. Example 1123456</t>
        </r>
      </text>
    </comment>
    <comment ref="E56" authorId="0" shapeId="0">
      <text>
        <r>
          <rPr>
            <b/>
            <sz val="11"/>
            <color indexed="81"/>
            <rFont val="Tahoma"/>
            <family val="2"/>
          </rPr>
          <t>Enter the start date of the grant/contract  (See R/3 GMGRANTD - General Tab)</t>
        </r>
      </text>
    </comment>
    <comment ref="F56" authorId="0" shapeId="0">
      <text>
        <r>
          <rPr>
            <b/>
            <sz val="11"/>
            <color indexed="81"/>
            <rFont val="Tahoma"/>
            <family val="2"/>
          </rPr>
          <t>Enter the End date of the grant/contract   (See R/3 GMGRANTD - General Tab)</t>
        </r>
      </text>
    </comment>
    <comment ref="J56" authorId="0" shapeId="0">
      <text>
        <r>
          <rPr>
            <b/>
            <sz val="11"/>
            <color indexed="81"/>
            <rFont val="Tahoma"/>
            <family val="2"/>
          </rPr>
          <t>Enter the effort as reported by the EXC LVS</t>
        </r>
      </text>
    </comment>
    <comment ref="L56" authorId="0" shapeId="0">
      <text>
        <r>
          <rPr>
            <b/>
            <sz val="11"/>
            <color indexed="81"/>
            <rFont val="Tahoma"/>
            <family val="2"/>
          </rPr>
          <t>Enter the date you completed the one-time payment PCR</t>
        </r>
      </text>
    </comment>
    <comment ref="M56" authorId="0" shapeId="0">
      <text>
        <r>
          <rPr>
            <b/>
            <sz val="11"/>
            <color indexed="81"/>
            <rFont val="Tahoma"/>
            <family val="2"/>
          </rPr>
          <t>Enter the PCR number generated when you completed the one-time payment PCR</t>
        </r>
      </text>
    </comment>
    <comment ref="B5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text>
        <r>
          <rPr>
            <b/>
            <sz val="11"/>
            <color indexed="81"/>
            <rFont val="Tahoma"/>
            <family val="2"/>
          </rPr>
          <t>Pick respective funding Agency or Regular (All other) if not listed. Corresponds to L(5-10) above</t>
        </r>
      </text>
    </comment>
    <comment ref="D57" authorId="0" shapeId="0">
      <text>
        <r>
          <rPr>
            <b/>
            <sz val="11"/>
            <color indexed="81"/>
            <rFont val="Tahoma"/>
            <family val="2"/>
          </rPr>
          <t>Enter the UC SAP Grant account number. Example 1123456</t>
        </r>
      </text>
    </comment>
    <comment ref="E57" authorId="0" shapeId="0">
      <text>
        <r>
          <rPr>
            <b/>
            <sz val="11"/>
            <color indexed="81"/>
            <rFont val="Tahoma"/>
            <family val="2"/>
          </rPr>
          <t>Enter the start date of the grant/contract  (See R/3 GMGRANTD - General Tab)</t>
        </r>
      </text>
    </comment>
    <comment ref="F57" authorId="0" shapeId="0">
      <text>
        <r>
          <rPr>
            <b/>
            <sz val="11"/>
            <color indexed="81"/>
            <rFont val="Tahoma"/>
            <family val="2"/>
          </rPr>
          <t>Enter the End date of the grant/contract   (See R/3 GMGRANTD - General Tab)</t>
        </r>
      </text>
    </comment>
    <comment ref="J57" authorId="0" shapeId="0">
      <text>
        <r>
          <rPr>
            <b/>
            <sz val="11"/>
            <color indexed="81"/>
            <rFont val="Tahoma"/>
            <family val="2"/>
          </rPr>
          <t>Enter the effort as reported by the EXC LVS</t>
        </r>
      </text>
    </comment>
    <comment ref="L57" authorId="0" shapeId="0">
      <text>
        <r>
          <rPr>
            <b/>
            <sz val="11"/>
            <color indexed="81"/>
            <rFont val="Tahoma"/>
            <family val="2"/>
          </rPr>
          <t>Enter the date you completed the one-time payment PCR</t>
        </r>
      </text>
    </comment>
    <comment ref="M57" authorId="0" shapeId="0">
      <text>
        <r>
          <rPr>
            <b/>
            <sz val="11"/>
            <color indexed="81"/>
            <rFont val="Tahoma"/>
            <family val="2"/>
          </rPr>
          <t>Enter the PCR number generated when you completed the one-time payment PCR</t>
        </r>
      </text>
    </comment>
    <comment ref="B5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text>
        <r>
          <rPr>
            <b/>
            <sz val="11"/>
            <color indexed="81"/>
            <rFont val="Tahoma"/>
            <family val="2"/>
          </rPr>
          <t>Pick respective funding Agency or Regular (All other) if not listed. Corresponds to L(5-10) above</t>
        </r>
      </text>
    </comment>
    <comment ref="D58" authorId="0" shapeId="0">
      <text>
        <r>
          <rPr>
            <b/>
            <sz val="11"/>
            <color indexed="81"/>
            <rFont val="Tahoma"/>
            <family val="2"/>
          </rPr>
          <t>Enter the UC SAP Grant account number. Example 1123456</t>
        </r>
      </text>
    </comment>
    <comment ref="E58" authorId="0" shapeId="0">
      <text>
        <r>
          <rPr>
            <b/>
            <sz val="11"/>
            <color indexed="81"/>
            <rFont val="Tahoma"/>
            <family val="2"/>
          </rPr>
          <t>Enter the start date of the grant/contract  (See R/3 GMGRANTD - General Tab)</t>
        </r>
      </text>
    </comment>
    <comment ref="F58" authorId="0" shapeId="0">
      <text>
        <r>
          <rPr>
            <b/>
            <sz val="11"/>
            <color indexed="81"/>
            <rFont val="Tahoma"/>
            <family val="2"/>
          </rPr>
          <t>Enter the End date of the grant/contract   (See R/3 GMGRANTD - General Tab)</t>
        </r>
      </text>
    </comment>
    <comment ref="J58" authorId="0" shapeId="0">
      <text>
        <r>
          <rPr>
            <b/>
            <sz val="11"/>
            <color indexed="81"/>
            <rFont val="Tahoma"/>
            <family val="2"/>
          </rPr>
          <t>Enter the effort as reported by the EXC LVS</t>
        </r>
      </text>
    </comment>
    <comment ref="L58" authorId="0" shapeId="0">
      <text>
        <r>
          <rPr>
            <b/>
            <sz val="11"/>
            <color indexed="81"/>
            <rFont val="Tahoma"/>
            <family val="2"/>
          </rPr>
          <t>Enter the date you completed the one-time payment PCR</t>
        </r>
      </text>
    </comment>
    <comment ref="M58" authorId="0" shapeId="0">
      <text>
        <r>
          <rPr>
            <b/>
            <sz val="11"/>
            <color indexed="81"/>
            <rFont val="Tahoma"/>
            <family val="2"/>
          </rPr>
          <t>Enter the PCR number generated when you completed the one-time payment PCR</t>
        </r>
      </text>
    </comment>
    <comment ref="B5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text>
        <r>
          <rPr>
            <b/>
            <sz val="11"/>
            <color indexed="81"/>
            <rFont val="Tahoma"/>
            <family val="2"/>
          </rPr>
          <t>Pick respective funding Agency or Regular (All other) if not listed. Corresponds to L(5-10) above</t>
        </r>
      </text>
    </comment>
    <comment ref="D59" authorId="0" shapeId="0">
      <text>
        <r>
          <rPr>
            <b/>
            <sz val="11"/>
            <color indexed="81"/>
            <rFont val="Tahoma"/>
            <family val="2"/>
          </rPr>
          <t>Enter the UC SAP Grant account number. Example 1123456</t>
        </r>
      </text>
    </comment>
    <comment ref="E59" authorId="0" shapeId="0">
      <text>
        <r>
          <rPr>
            <b/>
            <sz val="11"/>
            <color indexed="81"/>
            <rFont val="Tahoma"/>
            <family val="2"/>
          </rPr>
          <t>Enter the start date of the grant/contract  (See R/3 GMGRANTD - General Tab)</t>
        </r>
      </text>
    </comment>
    <comment ref="F59" authorId="0" shapeId="0">
      <text>
        <r>
          <rPr>
            <b/>
            <sz val="11"/>
            <color indexed="81"/>
            <rFont val="Tahoma"/>
            <family val="2"/>
          </rPr>
          <t>Enter the End date of the grant/contract   (See R/3 GMGRANTD - General Tab)</t>
        </r>
      </text>
    </comment>
    <comment ref="J59" authorId="0" shapeId="0">
      <text>
        <r>
          <rPr>
            <b/>
            <sz val="11"/>
            <color indexed="81"/>
            <rFont val="Tahoma"/>
            <family val="2"/>
          </rPr>
          <t>Enter the effort as reported by the EXC LVS</t>
        </r>
      </text>
    </comment>
    <comment ref="L59" authorId="0" shapeId="0">
      <text>
        <r>
          <rPr>
            <b/>
            <sz val="11"/>
            <color indexed="81"/>
            <rFont val="Tahoma"/>
            <family val="2"/>
          </rPr>
          <t>Enter the date you completed the one-time payment PCR</t>
        </r>
      </text>
    </comment>
    <comment ref="M59" authorId="0" shapeId="0">
      <text>
        <r>
          <rPr>
            <b/>
            <sz val="11"/>
            <color indexed="81"/>
            <rFont val="Tahoma"/>
            <family val="2"/>
          </rPr>
          <t>Enter the PCR number generated when you completed the one-time payment PCR</t>
        </r>
      </text>
    </comment>
    <comment ref="B6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text>
        <r>
          <rPr>
            <b/>
            <sz val="11"/>
            <color indexed="81"/>
            <rFont val="Tahoma"/>
            <family val="2"/>
          </rPr>
          <t>Pick respective funding Agency or Regular (All other) if not listed. Corresponds to L(5-10) above</t>
        </r>
      </text>
    </comment>
    <comment ref="D60" authorId="0" shapeId="0">
      <text>
        <r>
          <rPr>
            <b/>
            <sz val="11"/>
            <color indexed="81"/>
            <rFont val="Tahoma"/>
            <family val="2"/>
          </rPr>
          <t>Enter the UC SAP Grant account number. Example 1123456</t>
        </r>
      </text>
    </comment>
    <comment ref="E60" authorId="0" shapeId="0">
      <text>
        <r>
          <rPr>
            <b/>
            <sz val="11"/>
            <color indexed="81"/>
            <rFont val="Tahoma"/>
            <family val="2"/>
          </rPr>
          <t>Enter the start date of the grant/contract  (See R/3 GMGRANTD - General Tab)</t>
        </r>
      </text>
    </comment>
    <comment ref="F60" authorId="0" shapeId="0">
      <text>
        <r>
          <rPr>
            <b/>
            <sz val="11"/>
            <color indexed="81"/>
            <rFont val="Tahoma"/>
            <family val="2"/>
          </rPr>
          <t>Enter the End date of the grant/contract   (See R/3 GMGRANTD - General Tab)</t>
        </r>
      </text>
    </comment>
    <comment ref="J60" authorId="0" shapeId="0">
      <text>
        <r>
          <rPr>
            <b/>
            <sz val="11"/>
            <color indexed="81"/>
            <rFont val="Tahoma"/>
            <family val="2"/>
          </rPr>
          <t>Enter the effort as reported by the EXC LVS</t>
        </r>
      </text>
    </comment>
    <comment ref="L60" authorId="0" shapeId="0">
      <text>
        <r>
          <rPr>
            <b/>
            <sz val="11"/>
            <color indexed="81"/>
            <rFont val="Tahoma"/>
            <family val="2"/>
          </rPr>
          <t>Enter the date you completed the one-time payment PCR</t>
        </r>
      </text>
    </comment>
    <comment ref="M60" authorId="0" shapeId="0">
      <text>
        <r>
          <rPr>
            <b/>
            <sz val="11"/>
            <color indexed="81"/>
            <rFont val="Tahoma"/>
            <family val="2"/>
          </rPr>
          <t>Enter the PCR number generated when you completed the one-time payment PCR</t>
        </r>
      </text>
    </comment>
    <comment ref="B6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text>
        <r>
          <rPr>
            <b/>
            <sz val="11"/>
            <color indexed="81"/>
            <rFont val="Tahoma"/>
            <family val="2"/>
          </rPr>
          <t>Pick respective funding Agency or Regular (All other) if not listed. Corresponds to L(5-10) above</t>
        </r>
      </text>
    </comment>
    <comment ref="D61" authorId="0" shapeId="0">
      <text>
        <r>
          <rPr>
            <b/>
            <sz val="11"/>
            <color indexed="81"/>
            <rFont val="Tahoma"/>
            <family val="2"/>
          </rPr>
          <t>Enter the UC SAP Grant account number. Example 1123456</t>
        </r>
      </text>
    </comment>
    <comment ref="E61" authorId="0" shapeId="0">
      <text>
        <r>
          <rPr>
            <b/>
            <sz val="11"/>
            <color indexed="81"/>
            <rFont val="Tahoma"/>
            <family val="2"/>
          </rPr>
          <t>Enter the start date of the grant/contract  (See R/3 GMGRANTD - General Tab)</t>
        </r>
      </text>
    </comment>
    <comment ref="F61" authorId="0" shapeId="0">
      <text>
        <r>
          <rPr>
            <b/>
            <sz val="11"/>
            <color indexed="81"/>
            <rFont val="Tahoma"/>
            <family val="2"/>
          </rPr>
          <t>Enter the End date of the grant/contract   (See R/3 GMGRANTD - General Tab)</t>
        </r>
      </text>
    </comment>
    <comment ref="J61" authorId="0" shapeId="0">
      <text>
        <r>
          <rPr>
            <b/>
            <sz val="11"/>
            <color indexed="81"/>
            <rFont val="Tahoma"/>
            <family val="2"/>
          </rPr>
          <t>Enter the effort as reported by the EXC LVS</t>
        </r>
      </text>
    </comment>
    <comment ref="L61" authorId="0" shapeId="0">
      <text>
        <r>
          <rPr>
            <b/>
            <sz val="11"/>
            <color indexed="81"/>
            <rFont val="Tahoma"/>
            <family val="2"/>
          </rPr>
          <t>Enter the date you completed the one-time payment PCR</t>
        </r>
      </text>
    </comment>
    <comment ref="M61" authorId="0" shapeId="0">
      <text>
        <r>
          <rPr>
            <b/>
            <sz val="11"/>
            <color indexed="81"/>
            <rFont val="Tahoma"/>
            <family val="2"/>
          </rPr>
          <t>Enter the PCR number generated when you completed the one-time payment PCR</t>
        </r>
      </text>
    </comment>
    <comment ref="B6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text>
        <r>
          <rPr>
            <b/>
            <sz val="11"/>
            <color indexed="81"/>
            <rFont val="Tahoma"/>
            <family val="2"/>
          </rPr>
          <t>Pick respective funding Agency or Regular (All other) if not listed. Corresponds to L(5-10) above</t>
        </r>
      </text>
    </comment>
    <comment ref="D62" authorId="0" shapeId="0">
      <text>
        <r>
          <rPr>
            <b/>
            <sz val="11"/>
            <color indexed="81"/>
            <rFont val="Tahoma"/>
            <family val="2"/>
          </rPr>
          <t>Enter the UC SAP Grant account number. Example 1123456</t>
        </r>
      </text>
    </comment>
    <comment ref="E62" authorId="0" shapeId="0">
      <text>
        <r>
          <rPr>
            <b/>
            <sz val="11"/>
            <color indexed="81"/>
            <rFont val="Tahoma"/>
            <family val="2"/>
          </rPr>
          <t>Enter the start date of the grant/contract  (See R/3 GMGRANTD - General Tab)</t>
        </r>
      </text>
    </comment>
    <comment ref="F62" authorId="0" shapeId="0">
      <text>
        <r>
          <rPr>
            <b/>
            <sz val="11"/>
            <color indexed="81"/>
            <rFont val="Tahoma"/>
            <family val="2"/>
          </rPr>
          <t>Enter the End date of the grant/contract   (See R/3 GMGRANTD - General Tab)</t>
        </r>
      </text>
    </comment>
    <comment ref="J62" authorId="0" shapeId="0">
      <text>
        <r>
          <rPr>
            <b/>
            <sz val="11"/>
            <color indexed="81"/>
            <rFont val="Tahoma"/>
            <family val="2"/>
          </rPr>
          <t>Enter the effort as reported by the EXC LVS</t>
        </r>
      </text>
    </comment>
    <comment ref="L62" authorId="0" shapeId="0">
      <text>
        <r>
          <rPr>
            <b/>
            <sz val="11"/>
            <color indexed="81"/>
            <rFont val="Tahoma"/>
            <family val="2"/>
          </rPr>
          <t>Enter the date you completed the one-time payment PCR</t>
        </r>
      </text>
    </comment>
    <comment ref="M62" authorId="0" shapeId="0">
      <text>
        <r>
          <rPr>
            <b/>
            <sz val="11"/>
            <color indexed="81"/>
            <rFont val="Tahoma"/>
            <family val="2"/>
          </rPr>
          <t>Enter the PCR number generated when you completed the one-time payment PCR</t>
        </r>
      </text>
    </comment>
    <comment ref="B6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text>
        <r>
          <rPr>
            <b/>
            <sz val="11"/>
            <color indexed="81"/>
            <rFont val="Tahoma"/>
            <family val="2"/>
          </rPr>
          <t>Pick respective funding Agency or Regular (All other) if not listed. Corresponds to L(5-10) above</t>
        </r>
      </text>
    </comment>
    <comment ref="D63" authorId="0" shapeId="0">
      <text>
        <r>
          <rPr>
            <b/>
            <sz val="11"/>
            <color indexed="81"/>
            <rFont val="Tahoma"/>
            <family val="2"/>
          </rPr>
          <t>Enter the UC SAP Grant account number. Example 1123456</t>
        </r>
      </text>
    </comment>
    <comment ref="E63" authorId="0" shapeId="0">
      <text>
        <r>
          <rPr>
            <b/>
            <sz val="11"/>
            <color indexed="81"/>
            <rFont val="Tahoma"/>
            <family val="2"/>
          </rPr>
          <t>Enter the start date of the grant/contract  (See R/3 GMGRANTD - General Tab)</t>
        </r>
      </text>
    </comment>
    <comment ref="F63" authorId="0" shapeId="0">
      <text>
        <r>
          <rPr>
            <b/>
            <sz val="11"/>
            <color indexed="81"/>
            <rFont val="Tahoma"/>
            <family val="2"/>
          </rPr>
          <t>Enter the End date of the grant/contract   (See R/3 GMGRANTD - General Tab)</t>
        </r>
      </text>
    </comment>
    <comment ref="J63" authorId="0" shapeId="0">
      <text>
        <r>
          <rPr>
            <b/>
            <sz val="11"/>
            <color indexed="81"/>
            <rFont val="Tahoma"/>
            <family val="2"/>
          </rPr>
          <t>Enter the effort as reported by the EXC LVS</t>
        </r>
      </text>
    </comment>
    <comment ref="L63" authorId="0" shapeId="0">
      <text>
        <r>
          <rPr>
            <b/>
            <sz val="11"/>
            <color indexed="81"/>
            <rFont val="Tahoma"/>
            <family val="2"/>
          </rPr>
          <t>Enter the date you completed the one-time payment PCR</t>
        </r>
      </text>
    </comment>
    <comment ref="M63" authorId="0" shapeId="0">
      <text>
        <r>
          <rPr>
            <b/>
            <sz val="11"/>
            <color indexed="81"/>
            <rFont val="Tahoma"/>
            <family val="2"/>
          </rPr>
          <t>Enter the PCR number generated when you completed the one-time payment PCR</t>
        </r>
      </text>
    </comment>
    <comment ref="B6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text>
        <r>
          <rPr>
            <b/>
            <sz val="11"/>
            <color indexed="81"/>
            <rFont val="Tahoma"/>
            <family val="2"/>
          </rPr>
          <t>Pick respective funding Agency or Regular (All other) if not listed. Corresponds to L(5-10) above</t>
        </r>
      </text>
    </comment>
    <comment ref="D64" authorId="0" shapeId="0">
      <text>
        <r>
          <rPr>
            <b/>
            <sz val="11"/>
            <color indexed="81"/>
            <rFont val="Tahoma"/>
            <family val="2"/>
          </rPr>
          <t>Enter the UC SAP Grant account number. Example 1123456</t>
        </r>
      </text>
    </comment>
    <comment ref="E64" authorId="0" shapeId="0">
      <text>
        <r>
          <rPr>
            <b/>
            <sz val="11"/>
            <color indexed="81"/>
            <rFont val="Tahoma"/>
            <family val="2"/>
          </rPr>
          <t>Enter the start date of the grant/contract  (See R/3 GMGRANTD - General Tab)</t>
        </r>
      </text>
    </comment>
    <comment ref="F64" authorId="0" shapeId="0">
      <text>
        <r>
          <rPr>
            <b/>
            <sz val="11"/>
            <color indexed="81"/>
            <rFont val="Tahoma"/>
            <family val="2"/>
          </rPr>
          <t>Enter the End date of the grant/contract   (See R/3 GMGRANTD - General Tab)</t>
        </r>
      </text>
    </comment>
    <comment ref="J64" authorId="0" shapeId="0">
      <text>
        <r>
          <rPr>
            <b/>
            <sz val="11"/>
            <color indexed="81"/>
            <rFont val="Tahoma"/>
            <family val="2"/>
          </rPr>
          <t>Enter the effort as reported by the EXC LVS</t>
        </r>
      </text>
    </comment>
    <comment ref="L64" authorId="0" shapeId="0">
      <text>
        <r>
          <rPr>
            <b/>
            <sz val="11"/>
            <color indexed="81"/>
            <rFont val="Tahoma"/>
            <family val="2"/>
          </rPr>
          <t>Enter the date you completed the one-time payment PCR</t>
        </r>
      </text>
    </comment>
    <comment ref="M64" authorId="0" shapeId="0">
      <text>
        <r>
          <rPr>
            <b/>
            <sz val="11"/>
            <color indexed="81"/>
            <rFont val="Tahoma"/>
            <family val="2"/>
          </rPr>
          <t>Enter the PCR number generated when you completed the one-time payment PCR</t>
        </r>
      </text>
    </comment>
    <comment ref="B6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text>
        <r>
          <rPr>
            <b/>
            <sz val="11"/>
            <color indexed="81"/>
            <rFont val="Tahoma"/>
            <family val="2"/>
          </rPr>
          <t>Pick respective funding Agency or Regular (All other) if not listed. Corresponds to L(5-10) above</t>
        </r>
      </text>
    </comment>
    <comment ref="D65" authorId="0" shapeId="0">
      <text>
        <r>
          <rPr>
            <b/>
            <sz val="11"/>
            <color indexed="81"/>
            <rFont val="Tahoma"/>
            <family val="2"/>
          </rPr>
          <t>Enter the UC SAP Grant account number. Example 1123456</t>
        </r>
      </text>
    </comment>
    <comment ref="E65" authorId="0" shapeId="0">
      <text>
        <r>
          <rPr>
            <b/>
            <sz val="11"/>
            <color indexed="81"/>
            <rFont val="Tahoma"/>
            <family val="2"/>
          </rPr>
          <t>Enter the start date of the grant/contract  (See R/3 GMGRANTD - General Tab)</t>
        </r>
      </text>
    </comment>
    <comment ref="F65" authorId="0" shapeId="0">
      <text>
        <r>
          <rPr>
            <b/>
            <sz val="11"/>
            <color indexed="81"/>
            <rFont val="Tahoma"/>
            <family val="2"/>
          </rPr>
          <t>Enter the End date of the grant/contract   (See R/3 GMGRANTD - General Tab)</t>
        </r>
      </text>
    </comment>
    <comment ref="J65" authorId="0" shapeId="0">
      <text>
        <r>
          <rPr>
            <b/>
            <sz val="11"/>
            <color indexed="81"/>
            <rFont val="Tahoma"/>
            <family val="2"/>
          </rPr>
          <t>Enter the effort as reported by the EXC LVS</t>
        </r>
      </text>
    </comment>
    <comment ref="L65" authorId="0" shapeId="0">
      <text>
        <r>
          <rPr>
            <b/>
            <sz val="11"/>
            <color indexed="81"/>
            <rFont val="Tahoma"/>
            <family val="2"/>
          </rPr>
          <t>Enter the date you completed the one-time payment PCR</t>
        </r>
      </text>
    </comment>
    <comment ref="M65" authorId="0" shapeId="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authors>
    <author>ferrelvs</author>
    <author>D Provine</author>
    <author>UC User</author>
  </authors>
  <commentList>
    <comment ref="M2" authorId="0" shapeId="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text>
        <r>
          <rPr>
            <b/>
            <sz val="10"/>
            <color indexed="81"/>
            <rFont val="Tahoma"/>
            <family val="2"/>
          </rPr>
          <t xml:space="preserve">Please provide faculty's full name per R/3 PA20. </t>
        </r>
      </text>
    </comment>
    <comment ref="D6" authorId="0" shapeId="0">
      <text>
        <r>
          <rPr>
            <b/>
            <sz val="11"/>
            <color indexed="81"/>
            <rFont val="Tahoma"/>
            <family val="2"/>
          </rPr>
          <t>Enter the M# for example M00123456</t>
        </r>
      </text>
    </comment>
    <comment ref="H6" authorId="0" shapeId="0">
      <text>
        <r>
          <rPr>
            <b/>
            <sz val="11"/>
            <color indexed="81"/>
            <rFont val="Tahoma"/>
            <family val="2"/>
          </rPr>
          <t>This field is used for any payment that may have resulted in error.</t>
        </r>
      </text>
    </comment>
    <comment ref="D7" authorId="0" shapeId="0">
      <text>
        <r>
          <rPr>
            <b/>
            <sz val="11"/>
            <color indexed="81"/>
            <rFont val="Tahoma"/>
            <family val="2"/>
          </rPr>
          <t>Provide the department Name</t>
        </r>
        <r>
          <rPr>
            <sz val="11"/>
            <color indexed="81"/>
            <rFont val="Tahoma"/>
            <family val="2"/>
          </rPr>
          <t xml:space="preserve">
</t>
        </r>
      </text>
    </comment>
    <comment ref="H7" authorId="0" shapeId="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text>
        <r>
          <rPr>
            <sz val="9"/>
            <color indexed="81"/>
            <rFont val="Tahoma"/>
            <family val="2"/>
          </rPr>
          <t>This formula only applies to individuals with only active NSF awards submitted on or after 1/1/2009.
Otherwise, request a replacement worksheet.</t>
        </r>
      </text>
    </comment>
    <comment ref="H8" authorId="0" shapeId="0">
      <text>
        <r>
          <rPr>
            <b/>
            <sz val="11"/>
            <color indexed="81"/>
            <rFont val="Tahoma"/>
            <family val="2"/>
          </rPr>
          <t>Enter any payment received for SUMMER Teaching. Remember the period may be for more than one month. Total should equal payment * # of months.</t>
        </r>
      </text>
    </comment>
    <comment ref="D9" authorId="0" shapeId="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text>
        <r>
          <rPr>
            <b/>
            <sz val="8"/>
            <color indexed="81"/>
            <rFont val="Tahoma"/>
            <family val="2"/>
          </rPr>
          <t>UC User:</t>
        </r>
        <r>
          <rPr>
            <sz val="8"/>
            <color indexed="81"/>
            <rFont val="Tahoma"/>
            <family val="2"/>
          </rPr>
          <t xml:space="preserve">
Insert Hours in this column </t>
        </r>
      </text>
    </comment>
    <comment ref="C19" authorId="0" shapeId="0">
      <text>
        <r>
          <rPr>
            <b/>
            <sz val="11"/>
            <color indexed="81"/>
            <rFont val="Tahoma"/>
            <family val="2"/>
          </rPr>
          <t>Enter the Date the UC SAP Base Salary effective date</t>
        </r>
      </text>
    </comment>
    <comment ref="D19"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text>
        <r>
          <rPr>
            <b/>
            <sz val="11"/>
            <color indexed="81"/>
            <rFont val="Tahoma"/>
            <family val="2"/>
          </rPr>
          <t>The actual base salary as reported in UC SAP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authors>
    <author>John G Ungruhe</author>
  </authors>
  <commentList>
    <comment ref="C2" authorId="0" shapeId="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<sst xmlns="http://schemas.openxmlformats.org/spreadsheetml/2006/main" count="2123" uniqueCount="281">
  <si>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</si>
  <si>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</si>
  <si>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</si>
  <si>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</si>
  <si>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</si>
  <si>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</si>
  <si>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</si>
  <si>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</si>
  <si>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</si>
  <si>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</si>
  <si>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</si>
  <si>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</si>
  <si>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</si>
  <si>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</si>
  <si>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</si>
  <si>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</si>
  <si>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</si>
  <si>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</si>
  <si>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</si>
  <si>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</si>
  <si>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</si>
  <si>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</si>
  <si>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</si>
  <si>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</si>
  <si>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</si>
  <si>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</si>
  <si>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</si>
  <si>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</si>
  <si>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</si>
  <si>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</si>
  <si>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</si>
  <si>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</si>
  <si>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</si>
  <si>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</si>
  <si>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</si>
  <si>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</si>
  <si>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</si>
  <si>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</si>
  <si>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</si>
  <si>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</si>
  <si>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</si>
  <si>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</si>
  <si>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</si>
  <si>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</si>
  <si>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</si>
  <si>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</si>
  <si>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</si>
  <si>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</si>
  <si>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</si>
  <si>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</si>
  <si>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</si>
  <si>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</si>
  <si>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</si>
  <si>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</si>
  <si>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</si>
  <si>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</si>
  <si>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</si>
  <si>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</si>
  <si>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</si>
  <si>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</si>
  <si>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</si>
  <si>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</si>
  <si>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</si>
  <si>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</si>
  <si>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</si>
  <si>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</si>
  <si>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</si>
  <si>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</si>
  <si>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</si>
  <si>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</si>
  <si>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</si>
  <si>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</si>
  <si>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</si>
  <si>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</si>
  <si>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</si>
  <si>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</si>
  <si>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</si>
  <si>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</si>
  <si>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</si>
  <si>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</si>
  <si>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</si>
  <si>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</si>
  <si>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</si>
  <si>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</si>
  <si>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</si>
  <si>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</si>
  <si>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</si>
  <si>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9/1/14 - 8/31/15</t>
  </si>
  <si>
    <t>9/1/15 - 2/28/16</t>
  </si>
  <si>
    <t>3/1/16 - 8/31/16</t>
  </si>
  <si>
    <t>PreFall Break</t>
  </si>
  <si>
    <t>Fall Break</t>
  </si>
  <si>
    <t>Spring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</si>
  <si>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</si>
  <si>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</si>
  <si>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</si>
  <si>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</si>
  <si>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</si>
  <si>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</si>
  <si>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</si>
  <si>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</si>
  <si>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</si>
  <si>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</si>
  <si>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</si>
  <si>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</si>
  <si>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</si>
  <si>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</si>
  <si>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</si>
  <si>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</si>
  <si>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</si>
  <si>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</si>
  <si>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</si>
  <si>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</si>
  <si>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</si>
  <si>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</si>
  <si>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</si>
  <si>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</si>
  <si>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</si>
  <si>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</si>
  <si>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</si>
  <si>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</si>
  <si>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</si>
  <si>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</si>
  <si>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</si>
  <si>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</si>
  <si>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</si>
  <si>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</si>
  <si>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</si>
  <si>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</si>
  <si>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</si>
  <si>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</si>
  <si>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</si>
  <si>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</si>
  <si>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</si>
  <si>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</si>
  <si>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</si>
  <si>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</si>
  <si>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</si>
  <si>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</si>
  <si>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</si>
  <si>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</si>
  <si>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</si>
  <si>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</si>
  <si>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</si>
  <si>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</si>
  <si>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</si>
  <si>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</si>
  <si>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</si>
  <si>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JGU16</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</si>
  <si>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</si>
  <si>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</si>
  <si>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</si>
  <si>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</si>
  <si>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</si>
  <si>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</si>
  <si>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</si>
  <si>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</si>
  <si>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</si>
  <si>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</si>
  <si>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</si>
  <si>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</si>
  <si>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</si>
  <si>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</si>
  <si>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</si>
  <si>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</si>
  <si>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</si>
  <si>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</si>
  <si>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</si>
  <si>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</si>
  <si>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</si>
  <si>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</si>
  <si>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</si>
  <si>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</si>
  <si>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</si>
  <si>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</si>
  <si>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</si>
  <si>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</si>
  <si>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</si>
  <si>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</si>
  <si>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</si>
  <si>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</si>
  <si>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</si>
  <si>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</si>
  <si>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</si>
  <si>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</si>
  <si>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</si>
  <si>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</si>
  <si>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</si>
  <si>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</si>
  <si>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</si>
  <si>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</si>
  <si>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</si>
  <si>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</si>
  <si>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</si>
  <si>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</si>
  <si>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</si>
  <si>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</si>
  <si>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</si>
  <si>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</si>
  <si>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</si>
  <si>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</si>
  <si>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</si>
  <si>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</si>
  <si>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</si>
  <si>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</si>
  <si>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</si>
  <si>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</si>
  <si>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</si>
  <si>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</si>
  <si>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</si>
  <si>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</si>
  <si>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</si>
  <si>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</si>
  <si>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</si>
  <si>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</si>
  <si>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</si>
  <si>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</si>
  <si>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</si>
  <si>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</si>
  <si>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</si>
  <si>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</si>
  <si>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</si>
  <si>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</si>
  <si>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</si>
  <si>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</si>
  <si>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</si>
  <si>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</si>
  <si>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</si>
  <si>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</si>
  <si>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</si>
  <si>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</si>
  <si>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</si>
  <si>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</si>
  <si>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</si>
  <si>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</si>
  <si>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</si>
  <si>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</si>
  <si>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</si>
  <si>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</si>
  <si>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</si>
  <si>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</si>
  <si>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</si>
  <si>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</si>
  <si>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</si>
  <si>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</si>
  <si>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</si>
  <si>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</si>
  <si>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</si>
  <si>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</si>
  <si>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</si>
  <si>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</si>
  <si>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</si>
  <si>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</si>
  <si>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</si>
  <si>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</si>
  <si>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</si>
  <si>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</si>
  <si>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</si>
  <si>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</si>
  <si>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</si>
  <si>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</si>
  <si>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</si>
  <si>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</si>
  <si>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</si>
  <si>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</si>
  <si>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</si>
  <si>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</si>
  <si>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</si>
  <si>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</si>
  <si>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</si>
  <si>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</si>
  <si>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</si>
  <si>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</si>
  <si>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2019AY</t>
  </si>
  <si>
    <t>**SEE PCR INITIATOR CHECKLIST WORKSHEET FOR IMPORTANT PROCESSING INFORMATION **</t>
  </si>
  <si>
    <t>2020AY</t>
  </si>
  <si>
    <t>9/1/19 - 8/31/2020</t>
  </si>
  <si>
    <t>9/1/18 - 8/31/19</t>
  </si>
  <si>
    <t>2/1/2020 &amp; After</t>
  </si>
  <si>
    <t>1/6/19 to 1/31/2020</t>
  </si>
  <si>
    <t>UDATED 2/17/2020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</si>
</sst>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8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s>
  <fills count="12">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52">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11" fillId="0" borderId="2" xfId="4" applyNumberFormat="1"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0" xfId="4" applyNumberFormat="1" applyFont="1" applyBorder="1" applyAlignment="1">
      <alignment horizontal="right"/>
    </xf>
    <xf numFmtId="14" fontId="88" fillId="11" borderId="2" xfId="4" applyNumberFormat="1" applyFont="1" applyFill="1" applyBorder="1" applyAlignment="1">
      <alignment horizontal="center" vertical="center"/>
    </xf>
    <xf numFmtId="0" fontId="88" fillId="11" borderId="0" xfId="4" applyFont="1" applyFill="1" applyBorder="1" applyAlignment="1">
      <alignment horizontal="center" vertical="center"/>
    </xf>
  </cellXfs>
  <cellStyles count="5">
    <cellStyle name="Comma" xfId="1" builtinId="3"/>
    <cellStyle name="Currency" xfId="2" builtinId="4"/>
    <cellStyle name="Normal" xfId="0" builtinId="0"/>
    <cellStyle name="Normal_Extra Compensation for AY 2004 A-G" xfId="4"/>
    <cellStyle name="Percent" xfId="3" builtinId="5"/>
  </cellStyles>
  <dxfs count="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2"/>
  <sheetViews>
    <sheetView showGridLines="0" zoomScaleNormal="100" workbookViewId="0"/>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19" t="s">
        <v>272</v>
      </c>
      <c r="C1" s="319"/>
      <c r="D1" s="319"/>
    </row>
    <row r="2" spans="2:5">
      <c r="B2" s="314" t="s">
        <v>271</v>
      </c>
      <c r="C2" s="314" t="s">
        <v>270</v>
      </c>
      <c r="D2" s="314" t="s">
        <v>269</v>
      </c>
    </row>
    <row r="3" spans="2:5">
      <c r="B3" s="299" t="s">
        <v>268</v>
      </c>
      <c r="C3" s="298" t="s">
        <v>267</v>
      </c>
      <c r="D3" s="300" t="s">
        <v>266</v>
      </c>
    </row>
    <row r="4" spans="2:5">
      <c r="B4" s="299" t="s">
        <v>265</v>
      </c>
      <c r="C4" s="298" t="s">
        <v>264</v>
      </c>
      <c r="D4" s="297" t="s">
        <v>263</v>
      </c>
    </row>
    <row r="5" spans="2:5">
      <c r="B5" s="299" t="s">
        <v>262</v>
      </c>
      <c r="C5" s="298" t="s">
        <v>261</v>
      </c>
      <c r="D5" s="297" t="s">
        <v>260</v>
      </c>
    </row>
    <row r="6" spans="2:5" ht="13.15" customHeight="1">
      <c r="B6" s="320"/>
      <c r="C6" s="321"/>
      <c r="D6" s="322"/>
    </row>
    <row r="7" spans="2:5">
      <c r="B7" s="299" t="s">
        <v>259</v>
      </c>
      <c r="C7" s="298" t="s">
        <v>258</v>
      </c>
      <c r="D7" s="297" t="s">
        <v>257</v>
      </c>
    </row>
    <row r="8" spans="2:5">
      <c r="B8" s="299" t="s">
        <v>256</v>
      </c>
      <c r="C8" s="298" t="s">
        <v>255</v>
      </c>
      <c r="D8" s="297" t="s">
        <v>254</v>
      </c>
    </row>
    <row r="9" spans="2:5">
      <c r="B9" s="299" t="s">
        <v>253</v>
      </c>
      <c r="C9" s="298" t="s">
        <v>252</v>
      </c>
      <c r="D9" s="297" t="s">
        <v>251</v>
      </c>
      <c r="E9" s="311"/>
    </row>
    <row r="10" spans="2:5">
      <c r="B10" s="313" t="s">
        <v>250</v>
      </c>
      <c r="C10" s="298" t="s">
        <v>249</v>
      </c>
      <c r="D10" s="312" t="s">
        <v>248</v>
      </c>
      <c r="E10" s="311"/>
    </row>
    <row r="11" spans="2:5" ht="13.5" customHeight="1">
      <c r="B11" s="303"/>
      <c r="D11" s="310" t="s">
        <v>247</v>
      </c>
    </row>
    <row r="12" spans="2:5" ht="60">
      <c r="B12" s="296" t="s">
        <v>246</v>
      </c>
      <c r="C12" s="295" t="s">
        <v>1</v>
      </c>
      <c r="D12" s="309" t="s">
        <v>245</v>
      </c>
    </row>
    <row r="13" spans="2:5" ht="11.25" customHeight="1">
      <c r="B13" s="303"/>
      <c r="C13" s="302"/>
      <c r="D13" s="301"/>
    </row>
    <row r="14" spans="2:5">
      <c r="B14" s="308" t="s">
        <v>244</v>
      </c>
      <c r="C14" s="298" t="s">
        <v>243</v>
      </c>
      <c r="D14" s="297" t="s">
        <v>242</v>
      </c>
    </row>
    <row r="15" spans="2:5" ht="45">
      <c r="B15" s="307" t="s">
        <v>241</v>
      </c>
      <c r="C15" s="295" t="s">
        <v>240</v>
      </c>
      <c r="D15" s="294" t="s">
        <v>239</v>
      </c>
    </row>
    <row r="16" spans="2:5">
      <c r="B16" s="308" t="s">
        <v>238</v>
      </c>
      <c r="C16" s="298" t="s">
        <v>37</v>
      </c>
      <c r="D16" s="297" t="s">
        <v>237</v>
      </c>
    </row>
    <row r="17" spans="2:4" ht="30">
      <c r="B17" s="307" t="s">
        <v>236</v>
      </c>
      <c r="C17" s="295" t="s">
        <v>39</v>
      </c>
      <c r="D17" s="294" t="s">
        <v>235</v>
      </c>
    </row>
    <row r="18" spans="2:4" ht="46.5" customHeight="1">
      <c r="B18" s="306" t="s">
        <v>234</v>
      </c>
      <c r="C18" s="305" t="s">
        <v>233</v>
      </c>
      <c r="D18" s="304" t="s">
        <v>232</v>
      </c>
    </row>
    <row r="19" spans="2:4" ht="11.25" customHeight="1">
      <c r="B19" s="303"/>
      <c r="C19" s="302"/>
      <c r="D19" s="301"/>
    </row>
    <row r="20" spans="2:4">
      <c r="B20" s="299" t="s">
        <v>231</v>
      </c>
      <c r="C20" s="298" t="s">
        <v>42</v>
      </c>
      <c r="D20" s="297" t="s">
        <v>230</v>
      </c>
    </row>
    <row r="21" spans="2:4">
      <c r="B21" s="299" t="s">
        <v>229</v>
      </c>
      <c r="C21" s="298" t="s">
        <v>228</v>
      </c>
      <c r="D21" s="297" t="s">
        <v>227</v>
      </c>
    </row>
    <row r="22" spans="2:4">
      <c r="B22" s="299" t="s">
        <v>226</v>
      </c>
      <c r="C22" s="298" t="s">
        <v>68</v>
      </c>
      <c r="D22" s="297" t="s">
        <v>225</v>
      </c>
    </row>
    <row r="23" spans="2:4">
      <c r="B23" s="299" t="s">
        <v>224</v>
      </c>
      <c r="C23" s="298" t="s">
        <v>195</v>
      </c>
      <c r="D23" s="300" t="s">
        <v>223</v>
      </c>
    </row>
    <row r="24" spans="2:4">
      <c r="B24" s="299" t="s">
        <v>222</v>
      </c>
      <c r="C24" s="298" t="s">
        <v>196</v>
      </c>
      <c r="D24" s="300" t="s">
        <v>221</v>
      </c>
    </row>
    <row r="25" spans="2:4">
      <c r="B25" s="299" t="s">
        <v>220</v>
      </c>
      <c r="C25" s="298" t="s">
        <v>65</v>
      </c>
      <c r="D25" s="297" t="s">
        <v>219</v>
      </c>
    </row>
    <row r="26" spans="2:4" ht="13.15" customHeight="1">
      <c r="B26" s="320"/>
      <c r="C26" s="321"/>
      <c r="D26" s="322"/>
    </row>
    <row r="27" spans="2:4">
      <c r="B27" s="299" t="s">
        <v>218</v>
      </c>
      <c r="C27" s="298" t="s">
        <v>60</v>
      </c>
      <c r="D27" s="297" t="s">
        <v>217</v>
      </c>
    </row>
    <row r="28" spans="2:4">
      <c r="B28" s="299" t="s">
        <v>216</v>
      </c>
      <c r="C28" s="298" t="s">
        <v>215</v>
      </c>
      <c r="D28" s="297" t="s">
        <v>214</v>
      </c>
    </row>
    <row r="29" spans="2:4">
      <c r="B29" s="299" t="s">
        <v>213</v>
      </c>
      <c r="C29" s="298" t="s">
        <v>212</v>
      </c>
      <c r="D29" s="297" t="s">
        <v>211</v>
      </c>
    </row>
    <row r="30" spans="2:4" ht="45">
      <c r="B30" s="296" t="s">
        <v>210</v>
      </c>
      <c r="C30" s="295" t="s">
        <v>209</v>
      </c>
      <c r="D30" s="294" t="s">
        <v>208</v>
      </c>
    </row>
    <row r="31" spans="2:4">
      <c r="D31" s="293">
        <v>43550</v>
      </c>
    </row>
    <row r="32" spans="2:4" ht="23.25">
      <c r="B32" s="292" t="s">
        <v>274</v>
      </c>
    </row>
  </sheetData>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134"/>
  <sheetViews>
    <sheetView workbookViewId="0">
      <selection activeCell="E26" sqref="E26"/>
    </sheetView>
  </sheetViews>
  <sheetFormatPr defaultRowHeight="15"/>
  <cols>
    <col min="1" max="1" width="7.85546875" customWidth="1"/>
    <col min="2" max="2" width="3.28515625" customWidth="1"/>
    <col min="3" max="3" width="3.28515625" style="223" customWidth="1"/>
    <col min="4" max="4" width="3.140625" customWidth="1"/>
    <col min="5" max="5" width="3.42578125" style="224" customWidth="1"/>
    <col min="6" max="6" width="3.140625" customWidth="1"/>
    <col min="7" max="7" width="25.5703125" customWidth="1"/>
    <col min="8" max="10" width="10.7109375" customWidth="1"/>
    <col min="11" max="11" width="7" customWidth="1"/>
  </cols>
  <sheetData>
    <row r="1" spans="1:11" s="222" customFormat="1" ht="28.5" customHeight="1" thickBot="1">
      <c r="A1" s="323" t="s">
        <v>96</v>
      </c>
      <c r="B1" s="324"/>
      <c r="C1" s="324"/>
      <c r="D1" s="324"/>
      <c r="E1" s="324"/>
      <c r="F1" s="324"/>
      <c r="G1" s="324"/>
      <c r="H1" s="324"/>
      <c r="I1" s="324"/>
      <c r="J1" s="325"/>
    </row>
    <row r="2" spans="1:11" ht="9" customHeight="1"/>
    <row r="3" spans="1:11" ht="15" customHeight="1">
      <c r="A3" s="326" t="s">
        <v>97</v>
      </c>
      <c r="B3" s="326"/>
      <c r="C3" s="326"/>
      <c r="D3" s="326"/>
      <c r="E3" s="326"/>
      <c r="F3" s="326"/>
      <c r="G3" s="326"/>
      <c r="H3" s="326"/>
      <c r="I3" s="326"/>
      <c r="J3" s="326"/>
    </row>
    <row r="4" spans="1:11" ht="15" customHeight="1">
      <c r="G4" s="225" t="s">
        <v>98</v>
      </c>
      <c r="I4" s="327" t="s">
        <v>99</v>
      </c>
      <c r="J4" s="328"/>
      <c r="K4" s="329"/>
    </row>
    <row r="5" spans="1:11" ht="15" customHeight="1" thickBot="1">
      <c r="A5" s="226" t="s">
        <v>100</v>
      </c>
      <c r="G5" s="227"/>
      <c r="I5" s="228"/>
      <c r="J5" s="228"/>
      <c r="K5" s="228"/>
    </row>
    <row r="6" spans="1:11" ht="15" customHeight="1" thickBot="1">
      <c r="B6" s="229"/>
      <c r="C6" s="230" t="s">
        <v>101</v>
      </c>
      <c r="D6" s="226" t="s">
        <v>102</v>
      </c>
    </row>
    <row r="7" spans="1:11" ht="15" customHeight="1" thickBot="1"/>
    <row r="8" spans="1:11" ht="15" customHeight="1" thickBot="1">
      <c r="B8" s="231"/>
      <c r="C8" s="230" t="s">
        <v>103</v>
      </c>
      <c r="D8" s="226" t="s">
        <v>104</v>
      </c>
    </row>
    <row r="9" spans="1:11" ht="15" customHeight="1" thickBot="1">
      <c r="D9" s="231"/>
      <c r="E9" t="s">
        <v>105</v>
      </c>
    </row>
    <row r="10" spans="1:11" ht="15" customHeight="1" thickBot="1"/>
    <row r="11" spans="1:11" ht="15" customHeight="1" thickBot="1">
      <c r="B11" s="231"/>
      <c r="C11" s="230" t="s">
        <v>106</v>
      </c>
      <c r="D11" s="226" t="s">
        <v>107</v>
      </c>
    </row>
    <row r="12" spans="1:11" ht="15" customHeight="1" thickBot="1">
      <c r="D12" s="231"/>
      <c r="E12" t="s">
        <v>108</v>
      </c>
    </row>
    <row r="13" spans="1:11" ht="15" customHeight="1" thickBot="1">
      <c r="E13" s="232" t="s">
        <v>109</v>
      </c>
    </row>
    <row r="14" spans="1:11" ht="15" customHeight="1" thickBot="1">
      <c r="D14" s="231"/>
      <c r="E14" s="232" t="s">
        <v>110</v>
      </c>
    </row>
    <row r="15" spans="1:11" ht="15" customHeight="1" thickBot="1">
      <c r="D15" s="233"/>
      <c r="E15" s="232"/>
    </row>
    <row r="16" spans="1:11" ht="15" customHeight="1" thickBot="1">
      <c r="B16" s="231"/>
      <c r="C16" s="230" t="s">
        <v>111</v>
      </c>
      <c r="D16" s="330" t="s">
        <v>112</v>
      </c>
      <c r="E16" s="330"/>
      <c r="F16" s="330"/>
      <c r="G16" s="330"/>
      <c r="H16" s="330"/>
      <c r="I16" s="330"/>
      <c r="J16" s="330"/>
    </row>
    <row r="17" spans="2:10" ht="15" customHeight="1">
      <c r="B17" s="234"/>
      <c r="C17" s="230"/>
      <c r="D17" s="330"/>
      <c r="E17" s="330"/>
      <c r="F17" s="330"/>
      <c r="G17" s="330"/>
      <c r="H17" s="330"/>
      <c r="I17" s="330"/>
      <c r="J17" s="330"/>
    </row>
    <row r="18" spans="2:10" ht="8.25" customHeight="1" thickBot="1">
      <c r="B18" s="234"/>
      <c r="C18" s="230"/>
      <c r="D18" s="226"/>
    </row>
    <row r="19" spans="2:10" ht="15" customHeight="1" thickBot="1">
      <c r="D19" s="231"/>
      <c r="E19" s="224" t="s">
        <v>113</v>
      </c>
      <c r="F19" t="s">
        <v>114</v>
      </c>
    </row>
    <row r="20" spans="2:10" ht="15" customHeight="1">
      <c r="D20" s="233"/>
    </row>
    <row r="21" spans="2:10" ht="15" customHeight="1" thickBot="1">
      <c r="D21" s="233"/>
      <c r="E21" s="235" t="s">
        <v>115</v>
      </c>
      <c r="F21" t="s">
        <v>116</v>
      </c>
      <c r="I21" s="236" t="s">
        <v>117</v>
      </c>
    </row>
    <row r="22" spans="2:10" ht="15" customHeight="1" thickBot="1">
      <c r="D22" s="233"/>
      <c r="E22" s="231"/>
      <c r="F22" s="224" t="s">
        <v>118</v>
      </c>
      <c r="G22" t="s">
        <v>119</v>
      </c>
    </row>
    <row r="23" spans="2:10" ht="15" customHeight="1" thickBot="1">
      <c r="D23" s="233"/>
      <c r="E23" s="231"/>
      <c r="F23" s="224" t="s">
        <v>120</v>
      </c>
      <c r="G23" t="s">
        <v>121</v>
      </c>
    </row>
    <row r="24" spans="2:10" ht="15" customHeight="1" thickBot="1">
      <c r="D24" s="233"/>
      <c r="E24" s="231"/>
      <c r="F24" s="224" t="s">
        <v>122</v>
      </c>
      <c r="G24" t="s">
        <v>123</v>
      </c>
    </row>
    <row r="25" spans="2:10" ht="15" customHeight="1" thickBot="1">
      <c r="D25" s="233"/>
      <c r="E25" s="231"/>
      <c r="F25" s="224" t="s">
        <v>124</v>
      </c>
      <c r="G25" t="s">
        <v>125</v>
      </c>
    </row>
    <row r="26" spans="2:10" ht="15" customHeight="1" thickBot="1">
      <c r="D26" s="233"/>
      <c r="E26" s="231"/>
      <c r="F26" s="224" t="s">
        <v>126</v>
      </c>
      <c r="G26" t="s">
        <v>127</v>
      </c>
    </row>
    <row r="27" spans="2:10" ht="13.5" customHeight="1" thickBot="1">
      <c r="C27"/>
      <c r="D27" s="233"/>
      <c r="E27" s="237"/>
      <c r="F27" s="224" t="s">
        <v>128</v>
      </c>
      <c r="G27" t="s">
        <v>129</v>
      </c>
    </row>
    <row r="28" spans="2:10" ht="15.75" thickBot="1">
      <c r="D28" s="233"/>
      <c r="E28" s="235" t="s">
        <v>130</v>
      </c>
      <c r="F28" t="s">
        <v>131</v>
      </c>
    </row>
    <row r="29" spans="2:10" ht="15.75" thickBot="1">
      <c r="D29" s="233"/>
      <c r="E29" s="231"/>
      <c r="F29" s="224" t="s">
        <v>118</v>
      </c>
      <c r="G29" t="s">
        <v>132</v>
      </c>
    </row>
    <row r="30" spans="2:10" ht="15.75" thickBot="1">
      <c r="D30" s="233"/>
      <c r="E30" s="238"/>
      <c r="F30" s="224"/>
    </row>
    <row r="31" spans="2:10" ht="15.75" thickBot="1">
      <c r="E31" s="231"/>
      <c r="F31" s="224" t="s">
        <v>120</v>
      </c>
      <c r="G31" t="s">
        <v>133</v>
      </c>
    </row>
    <row r="32" spans="2:10">
      <c r="E32" s="238"/>
      <c r="F32" s="224"/>
      <c r="G32" t="s">
        <v>134</v>
      </c>
    </row>
    <row r="33" spans="2:10">
      <c r="E33" s="238"/>
      <c r="F33" s="224"/>
    </row>
    <row r="34" spans="2:10">
      <c r="D34" s="233"/>
      <c r="F34" s="224"/>
      <c r="G34" s="239" t="s">
        <v>135</v>
      </c>
      <c r="H34" s="239" t="s">
        <v>136</v>
      </c>
      <c r="I34" s="239"/>
    </row>
    <row r="35" spans="2:10">
      <c r="D35" s="233"/>
      <c r="F35" s="224"/>
      <c r="G35" t="s">
        <v>137</v>
      </c>
      <c r="H35" s="240" t="s">
        <v>138</v>
      </c>
    </row>
    <row r="36" spans="2:10">
      <c r="D36" s="233"/>
      <c r="F36" s="224"/>
      <c r="G36" t="s">
        <v>139</v>
      </c>
      <c r="H36" s="240" t="s">
        <v>140</v>
      </c>
    </row>
    <row r="37" spans="2:10">
      <c r="D37" s="233"/>
      <c r="F37" s="224"/>
      <c r="G37" t="s">
        <v>141</v>
      </c>
      <c r="H37" s="241" t="s">
        <v>142</v>
      </c>
    </row>
    <row r="38" spans="2:10" ht="15" customHeight="1">
      <c r="D38" s="233"/>
      <c r="F38" s="224"/>
      <c r="G38" s="242" t="s">
        <v>143</v>
      </c>
      <c r="H38" s="243" t="s">
        <v>144</v>
      </c>
      <c r="I38" s="233"/>
      <c r="J38" s="233"/>
    </row>
    <row r="39" spans="2:10" ht="15" customHeight="1">
      <c r="D39" s="233"/>
      <c r="E39" s="238"/>
      <c r="F39" s="224"/>
      <c r="G39" s="242" t="s">
        <v>145</v>
      </c>
      <c r="H39" s="240" t="s">
        <v>146</v>
      </c>
    </row>
    <row r="40" spans="2:10" ht="15" customHeight="1">
      <c r="D40" s="233"/>
      <c r="E40" s="238"/>
      <c r="F40" s="224"/>
      <c r="G40" s="242"/>
      <c r="H40" s="240"/>
    </row>
    <row r="41" spans="2:10" ht="15" customHeight="1">
      <c r="B41" t="s">
        <v>147</v>
      </c>
      <c r="D41" s="233"/>
      <c r="E41" s="238"/>
      <c r="F41" s="224"/>
    </row>
    <row r="42" spans="2:10" ht="15" customHeight="1">
      <c r="D42" s="233"/>
      <c r="E42" s="238"/>
      <c r="F42" s="224"/>
    </row>
    <row r="43" spans="2:10" ht="15" customHeight="1" thickBot="1"/>
    <row r="44" spans="2:10" ht="15" customHeight="1" thickBot="1">
      <c r="B44" s="231" t="s">
        <v>148</v>
      </c>
      <c r="C44" s="230" t="s">
        <v>149</v>
      </c>
      <c r="D44" s="226" t="s">
        <v>150</v>
      </c>
    </row>
    <row r="45" spans="2:10" ht="15" customHeight="1" thickBot="1">
      <c r="D45" s="231"/>
      <c r="E45" t="s">
        <v>151</v>
      </c>
    </row>
    <row r="46" spans="2:10" ht="15" customHeight="1">
      <c r="D46" t="s">
        <v>152</v>
      </c>
    </row>
    <row r="47" spans="2:10" ht="15" customHeight="1">
      <c r="D47" s="232" t="s">
        <v>153</v>
      </c>
    </row>
    <row r="48" spans="2:10" ht="15" customHeight="1">
      <c r="D48" s="232" t="s">
        <v>154</v>
      </c>
    </row>
    <row r="49" spans="4:11" ht="15" customHeight="1">
      <c r="D49" s="232"/>
    </row>
    <row r="50" spans="4:11" ht="15" customHeight="1">
      <c r="D50" s="232" t="s">
        <v>155</v>
      </c>
    </row>
    <row r="51" spans="4:11" ht="15" customHeight="1">
      <c r="D51" s="232"/>
    </row>
    <row r="52" spans="4:11" ht="15" customHeight="1">
      <c r="D52" s="232"/>
      <c r="E52" s="331"/>
      <c r="G52" s="244" t="s">
        <v>156</v>
      </c>
      <c r="H52" s="244"/>
      <c r="I52" s="244"/>
    </row>
    <row r="53" spans="4:11" ht="15" customHeight="1">
      <c r="D53" s="232"/>
      <c r="E53" s="331"/>
      <c r="G53" s="245" t="s">
        <v>157</v>
      </c>
      <c r="H53" s="246" t="s">
        <v>158</v>
      </c>
      <c r="I53" s="247" t="s">
        <v>159</v>
      </c>
      <c r="J53" s="248" t="s">
        <v>160</v>
      </c>
    </row>
    <row r="54" spans="4:11" ht="15" customHeight="1">
      <c r="D54" s="232"/>
      <c r="E54" s="331"/>
      <c r="G54" s="249" t="s">
        <v>161</v>
      </c>
      <c r="H54" s="250" t="s">
        <v>162</v>
      </c>
      <c r="I54" s="251" t="s">
        <v>162</v>
      </c>
      <c r="J54" s="250" t="s">
        <v>163</v>
      </c>
    </row>
    <row r="55" spans="4:11" ht="15" customHeight="1">
      <c r="D55" s="232"/>
      <c r="E55" s="331"/>
      <c r="G55" s="249" t="s">
        <v>164</v>
      </c>
      <c r="H55" s="252" t="s">
        <v>165</v>
      </c>
      <c r="I55" s="253" t="s">
        <v>166</v>
      </c>
      <c r="J55" s="252" t="s">
        <v>167</v>
      </c>
    </row>
    <row r="56" spans="4:11" ht="15" customHeight="1">
      <c r="D56" s="232"/>
      <c r="E56" s="331"/>
      <c r="H56" s="254"/>
      <c r="J56" s="255"/>
    </row>
    <row r="57" spans="4:11" ht="15" customHeight="1">
      <c r="D57" s="232"/>
      <c r="E57" s="331"/>
      <c r="G57" s="256" t="s">
        <v>168</v>
      </c>
      <c r="H57" s="257">
        <v>4000</v>
      </c>
      <c r="I57" s="258">
        <v>1000</v>
      </c>
      <c r="J57" s="257">
        <v>2000</v>
      </c>
      <c r="K57" s="259" t="s">
        <v>169</v>
      </c>
    </row>
    <row r="58" spans="4:11" ht="15" customHeight="1">
      <c r="D58" s="232"/>
      <c r="E58" s="331"/>
      <c r="G58" s="256" t="s">
        <v>170</v>
      </c>
      <c r="H58" s="260">
        <v>0.28199999999999997</v>
      </c>
      <c r="I58" s="261">
        <v>0.28199999999999997</v>
      </c>
      <c r="J58" s="260">
        <v>0.30199999999999999</v>
      </c>
      <c r="K58" s="259" t="s">
        <v>169</v>
      </c>
    </row>
    <row r="59" spans="4:11" ht="15" customHeight="1">
      <c r="D59" s="232"/>
      <c r="E59" s="331"/>
      <c r="G59" s="256" t="s">
        <v>171</v>
      </c>
      <c r="H59" s="262">
        <f>H57*(1+H58)</f>
        <v>5128</v>
      </c>
      <c r="I59" s="263">
        <f>I57*(1+I58)</f>
        <v>1282</v>
      </c>
      <c r="J59" s="262">
        <f>J57*(1+J58)</f>
        <v>2604</v>
      </c>
      <c r="K59" s="264"/>
    </row>
    <row r="60" spans="4:11" ht="15" customHeight="1">
      <c r="D60" s="232"/>
      <c r="E60" s="331"/>
      <c r="G60" s="256" t="s">
        <v>172</v>
      </c>
      <c r="H60" s="260">
        <v>0.59499999999999997</v>
      </c>
      <c r="I60" s="261">
        <v>0.26</v>
      </c>
      <c r="J60" s="260">
        <v>0.08</v>
      </c>
      <c r="K60" s="259" t="s">
        <v>169</v>
      </c>
    </row>
    <row r="61" spans="4:11" ht="15" customHeight="1" thickBot="1">
      <c r="D61" s="232"/>
      <c r="E61" s="331"/>
      <c r="G61" s="265" t="s">
        <v>173</v>
      </c>
      <c r="H61" s="266">
        <f>H59*(1+H60)</f>
        <v>8179.16</v>
      </c>
      <c r="I61" s="267">
        <f>I59*(1+I60)</f>
        <v>1615.32</v>
      </c>
      <c r="J61" s="268">
        <f>J59*(1+J60)</f>
        <v>2812.32</v>
      </c>
    </row>
    <row r="62" spans="4:11" ht="10.5" customHeight="1" thickTop="1" thickBot="1">
      <c r="D62" s="232"/>
      <c r="E62" s="331"/>
      <c r="G62" s="265"/>
      <c r="H62" s="269"/>
      <c r="I62" s="270"/>
      <c r="J62" s="269"/>
    </row>
    <row r="63" spans="4:11" ht="28.5" customHeight="1" thickBot="1">
      <c r="D63" s="232"/>
      <c r="E63" s="331"/>
      <c r="G63" s="271" t="s">
        <v>174</v>
      </c>
      <c r="H63" s="272">
        <f>H61</f>
        <v>8179.16</v>
      </c>
      <c r="I63" s="272">
        <f>I61</f>
        <v>1615.32</v>
      </c>
      <c r="J63" s="273">
        <f>J61</f>
        <v>2812.32</v>
      </c>
    </row>
    <row r="64" spans="4:11" ht="15" customHeight="1">
      <c r="D64" s="233"/>
      <c r="E64" s="274"/>
      <c r="F64" s="275"/>
      <c r="G64" s="276" t="s">
        <v>175</v>
      </c>
      <c r="H64" s="275"/>
      <c r="I64" s="275"/>
      <c r="J64" s="275"/>
      <c r="K64" s="275"/>
    </row>
    <row r="65" spans="1:10" ht="15" customHeight="1"/>
    <row r="66" spans="1:10" ht="15" customHeight="1" thickBot="1">
      <c r="D66" t="s">
        <v>176</v>
      </c>
    </row>
    <row r="67" spans="1:10" ht="15" customHeight="1" thickBot="1">
      <c r="D67" s="231"/>
      <c r="E67" t="s">
        <v>177</v>
      </c>
    </row>
    <row r="68" spans="1:10" ht="15" customHeight="1">
      <c r="D68" s="233"/>
      <c r="E68" t="s">
        <v>178</v>
      </c>
    </row>
    <row r="69" spans="1:10" ht="15" customHeight="1" thickBot="1">
      <c r="D69" s="233"/>
      <c r="E69"/>
    </row>
    <row r="70" spans="1:10" ht="15" customHeight="1" thickBot="1">
      <c r="D70" s="231"/>
      <c r="E70" t="s">
        <v>179</v>
      </c>
    </row>
    <row r="71" spans="1:10" ht="15" customHeight="1">
      <c r="D71" s="233"/>
      <c r="E71" t="s">
        <v>180</v>
      </c>
    </row>
    <row r="72" spans="1:10" s="226" customFormat="1" ht="15" customHeight="1" thickBot="1">
      <c r="A72"/>
      <c r="B72"/>
      <c r="C72" s="223"/>
      <c r="D72" s="233"/>
      <c r="E72"/>
      <c r="F72"/>
      <c r="G72"/>
      <c r="H72"/>
      <c r="I72"/>
      <c r="J72"/>
    </row>
    <row r="73" spans="1:10" s="226" customFormat="1" ht="15" customHeight="1" thickBot="1">
      <c r="A73"/>
      <c r="B73" s="229"/>
      <c r="C73" s="230" t="s">
        <v>181</v>
      </c>
      <c r="D73" s="233" t="s">
        <v>182</v>
      </c>
      <c r="E73"/>
      <c r="F73"/>
      <c r="G73"/>
      <c r="H73"/>
      <c r="I73"/>
      <c r="J73"/>
    </row>
    <row r="74" spans="1:10" s="226" customFormat="1" ht="15" customHeight="1">
      <c r="A74"/>
      <c r="B74"/>
      <c r="C74" s="223"/>
      <c r="D74" s="233" t="s">
        <v>183</v>
      </c>
      <c r="E74"/>
      <c r="F74"/>
      <c r="G74"/>
      <c r="H74"/>
      <c r="I74"/>
      <c r="J74"/>
    </row>
    <row r="75" spans="1:10" s="226" customFormat="1" ht="15" customHeight="1">
      <c r="A75"/>
      <c r="B75"/>
      <c r="C75" s="223"/>
      <c r="D75" s="233" t="s">
        <v>184</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185</v>
      </c>
      <c r="D77" s="226" t="s">
        <v>186</v>
      </c>
      <c r="E77" s="277"/>
      <c r="F77" s="226"/>
      <c r="G77" s="226"/>
      <c r="H77" s="226"/>
      <c r="I77" s="226"/>
      <c r="J77" s="226"/>
    </row>
    <row r="78" spans="1:10" ht="15" customHeight="1" thickBot="1">
      <c r="D78" s="231"/>
      <c r="E78" s="226" t="s">
        <v>187</v>
      </c>
      <c r="F78" s="226"/>
      <c r="G78" s="226"/>
    </row>
    <row r="79" spans="1:10" ht="15" customHeight="1">
      <c r="E79" s="278" t="s">
        <v>188</v>
      </c>
    </row>
    <row r="80" spans="1:10" ht="15" customHeight="1" thickBot="1">
      <c r="D80" s="233"/>
    </row>
    <row r="81" spans="2:5" ht="15" customHeight="1" thickBot="1">
      <c r="B81" s="231"/>
      <c r="C81" s="230" t="s">
        <v>189</v>
      </c>
      <c r="D81" s="226" t="s">
        <v>190</v>
      </c>
    </row>
    <row r="82" spans="2:5" ht="15" customHeight="1" thickBot="1"/>
    <row r="83" spans="2:5" ht="15" customHeight="1" thickBot="1">
      <c r="B83" s="231"/>
      <c r="C83" s="230" t="s">
        <v>191</v>
      </c>
      <c r="D83" s="226" t="s">
        <v>192</v>
      </c>
      <c r="E83"/>
    </row>
    <row r="84" spans="2:5" ht="15" customHeight="1" thickBot="1">
      <c r="B84" s="233"/>
      <c r="C84" s="230"/>
      <c r="D84" s="231"/>
      <c r="E84" t="s">
        <v>193</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7">
    <tabColor rgb="FFFFFF00"/>
    <pageSetUpPr fitToPage="1"/>
  </sheetPr>
  <dimension ref="A1:AC916"/>
  <sheetViews>
    <sheetView showGridLines="0" tabSelected="1" defaultGridColor="0" colorId="22" zoomScale="80" zoomScaleNormal="80" workbookViewId="0">
      <selection activeCell="M5" sqref="M5"/>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2.140625" style="3" customWidth="1"/>
    <col min="15" max="15" width="15.7109375" style="3" customWidth="1"/>
    <col min="16" max="16" width="16.7109375" style="3" customWidth="1"/>
    <col min="17" max="17" width="15.140625" style="3" customWidth="1"/>
    <col min="18" max="18" width="15.5703125" style="10" customWidth="1"/>
    <col min="19" max="19" width="12.855468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275</v>
      </c>
      <c r="G1" s="5">
        <f>+Lookup!B2</f>
        <v>43692</v>
      </c>
      <c r="H1" s="5">
        <f>+Lookup!C9</f>
        <v>44057</v>
      </c>
      <c r="I1" s="335" t="s">
        <v>1</v>
      </c>
      <c r="J1" s="335"/>
      <c r="K1" s="335"/>
      <c r="L1" s="335"/>
      <c r="M1" s="6">
        <v>0</v>
      </c>
      <c r="N1" s="350" t="s">
        <v>280</v>
      </c>
      <c r="O1" s="351"/>
      <c r="P1" s="351"/>
      <c r="Q1" s="351"/>
      <c r="R1" s="2" t="s">
        <v>3</v>
      </c>
      <c r="S1" s="3" t="s">
        <v>4</v>
      </c>
      <c r="W1" s="7"/>
      <c r="X1" s="7"/>
      <c r="Y1" s="7"/>
      <c r="Z1" s="7"/>
      <c r="AA1" s="7"/>
    </row>
    <row r="2" spans="1:27" ht="20.25" customHeight="1" thickBot="1">
      <c r="B2" s="337" t="s">
        <v>5</v>
      </c>
      <c r="C2" s="338"/>
      <c r="D2" s="339"/>
      <c r="F2" s="4"/>
      <c r="H2" s="8" t="s">
        <v>6</v>
      </c>
      <c r="I2" s="9"/>
      <c r="L2" s="340" t="s">
        <v>7</v>
      </c>
      <c r="M2" s="340"/>
      <c r="N2" s="340"/>
      <c r="Q2" s="10"/>
      <c r="R2" s="11">
        <v>43862</v>
      </c>
      <c r="S2" s="12">
        <v>197300</v>
      </c>
      <c r="V2" s="7"/>
      <c r="W2" s="7"/>
      <c r="X2" s="7"/>
      <c r="Y2" s="7"/>
      <c r="Z2" s="7"/>
    </row>
    <row r="3" spans="1:27" ht="9" customHeight="1">
      <c r="C3" s="2"/>
      <c r="D3" s="2"/>
      <c r="F3" s="13"/>
      <c r="H3" s="9"/>
      <c r="I3" s="9"/>
      <c r="L3" s="14"/>
      <c r="M3" s="14"/>
      <c r="N3" s="14"/>
      <c r="Q3" s="10"/>
      <c r="R3" s="3"/>
      <c r="V3" s="7"/>
      <c r="W3" s="7"/>
      <c r="X3" s="7"/>
      <c r="Y3" s="7"/>
      <c r="Z3" s="7"/>
    </row>
    <row r="4" spans="1:27">
      <c r="C4" s="15" t="s">
        <v>8</v>
      </c>
      <c r="D4" s="16"/>
      <c r="F4" s="3"/>
      <c r="G4" s="17" t="s">
        <v>9</v>
      </c>
      <c r="H4" s="18">
        <f>((($D$18*$H$18)+($D$19*$H$19)+($D$20*$H$20)+($D$21*$H$21))*((14/32)))</f>
        <v>0</v>
      </c>
      <c r="I4" s="19">
        <v>1</v>
      </c>
      <c r="N4" s="20"/>
      <c r="P4" s="21"/>
      <c r="Q4" s="10"/>
      <c r="R4" s="22"/>
      <c r="S4" s="23"/>
      <c r="T4" s="23"/>
      <c r="U4" s="24"/>
      <c r="V4" s="25"/>
      <c r="W4" s="26"/>
      <c r="X4" s="27"/>
      <c r="Y4" s="25"/>
      <c r="Z4" s="7"/>
    </row>
    <row r="5" spans="1:27">
      <c r="C5" s="15" t="s">
        <v>10</v>
      </c>
      <c r="D5" s="28"/>
      <c r="F5" s="3"/>
      <c r="G5" s="17" t="s">
        <v>11</v>
      </c>
      <c r="H5" s="29"/>
      <c r="I5" s="30"/>
      <c r="L5" s="31" t="s">
        <v>12</v>
      </c>
      <c r="M5" s="29">
        <f>(197300*1.1)*32/52*14/32</f>
        <v>58431.153846153851</v>
      </c>
      <c r="N5" s="32">
        <f>ROUND(+M5/560,2)</f>
        <v>104.34</v>
      </c>
      <c r="O5" s="32"/>
      <c r="P5" s="33"/>
      <c r="Q5" s="32"/>
      <c r="R5" s="22"/>
      <c r="S5" s="23"/>
      <c r="T5" s="23"/>
      <c r="U5" s="24"/>
      <c r="V5" s="34"/>
      <c r="W5" s="26"/>
      <c r="X5" s="7"/>
      <c r="Y5" s="26"/>
      <c r="Z5" s="7"/>
    </row>
    <row r="6" spans="1:27">
      <c r="C6" s="15" t="s">
        <v>13</v>
      </c>
      <c r="D6" s="28"/>
      <c r="F6" s="3"/>
      <c r="G6" s="17" t="s">
        <v>14</v>
      </c>
      <c r="H6" s="29"/>
      <c r="I6" s="30"/>
      <c r="L6" s="35" t="s">
        <v>15</v>
      </c>
      <c r="M6" s="36">
        <f>((($D$18*$H$18)+($D$19*$H$19)+($D$20*$H$20)+($D$21*$H$21))*(2/9)-M1)</f>
        <v>0</v>
      </c>
      <c r="N6" s="3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45"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53" t="s">
        <v>24</v>
      </c>
      <c r="M8" s="29">
        <f>192300*32/52*14/32</f>
        <v>51773.076923076922</v>
      </c>
      <c r="N8" s="32">
        <f>ROUND(+M8/560,2)</f>
        <v>92.45</v>
      </c>
      <c r="O8" s="32" t="s">
        <v>25</v>
      </c>
      <c r="P8" s="54" t="s">
        <v>279</v>
      </c>
      <c r="Q8" s="55"/>
      <c r="R8" s="56">
        <f>192300*32/52</f>
        <v>118338.46153846153</v>
      </c>
      <c r="S8" s="57" t="s">
        <v>4</v>
      </c>
      <c r="T8" s="58"/>
      <c r="U8" s="34"/>
      <c r="V8" s="40"/>
      <c r="W8" s="41"/>
      <c r="X8" s="42"/>
      <c r="Y8" s="7"/>
    </row>
    <row r="9" spans="1:27">
      <c r="C9" s="15"/>
      <c r="D9" s="59"/>
      <c r="F9" s="49"/>
      <c r="G9" s="60" t="s">
        <v>26</v>
      </c>
      <c r="H9" s="61">
        <f>H4-H5-H7-H6-H8</f>
        <v>0</v>
      </c>
      <c r="I9" s="62">
        <f>I4+I5-I7-I6</f>
        <v>1</v>
      </c>
      <c r="L9" s="53" t="s">
        <v>27</v>
      </c>
      <c r="M9" s="29">
        <f>197300*32/52*14/32</f>
        <v>53119.230769230766</v>
      </c>
      <c r="N9" s="32">
        <f>ROUND(+M9/560,2)</f>
        <v>94.86</v>
      </c>
      <c r="O9" s="32" t="s">
        <v>25</v>
      </c>
      <c r="P9" s="3" t="s">
        <v>278</v>
      </c>
      <c r="Q9" s="55"/>
      <c r="R9" s="56">
        <f>197300*32/52</f>
        <v>121415.38461538461</v>
      </c>
      <c r="S9" s="57" t="s">
        <v>4</v>
      </c>
      <c r="T9" s="58"/>
      <c r="U9" s="34"/>
      <c r="V9" s="40"/>
      <c r="W9" s="41"/>
      <c r="X9" s="42"/>
      <c r="Y9" s="7"/>
    </row>
    <row r="10" spans="1:27">
      <c r="C10" s="15"/>
      <c r="D10" s="59"/>
      <c r="F10" s="49"/>
      <c r="G10" s="60" t="s">
        <v>28</v>
      </c>
      <c r="H10" s="63">
        <f>SUM(N35:N65)</f>
        <v>0</v>
      </c>
      <c r="I10" s="62">
        <f>SUM(J35:J65)</f>
        <v>0</v>
      </c>
      <c r="L10" s="53" t="s">
        <v>29</v>
      </c>
      <c r="M10" s="29" t="s">
        <v>2</v>
      </c>
      <c r="N10" s="32">
        <f>ROUND(+M10/560,2)</f>
        <v>0</v>
      </c>
      <c r="O10" s="32" t="s">
        <v>25</v>
      </c>
      <c r="P10" s="54"/>
      <c r="Q10" s="55"/>
      <c r="R10" s="56"/>
      <c r="S10" s="57" t="s">
        <v>4</v>
      </c>
      <c r="T10" s="58"/>
      <c r="U10" s="34"/>
      <c r="V10" s="40"/>
      <c r="W10" s="41"/>
      <c r="X10" s="42"/>
      <c r="Y10" s="7"/>
    </row>
    <row r="11" spans="1:27" ht="15" thickBot="1">
      <c r="C11" s="15"/>
      <c r="D11" s="59"/>
      <c r="F11" s="49"/>
      <c r="G11" s="60" t="s">
        <v>30</v>
      </c>
      <c r="H11" s="64">
        <f>H9-H10</f>
        <v>0</v>
      </c>
      <c r="I11" s="65">
        <f>I9-I10</f>
        <v>1</v>
      </c>
      <c r="L11" s="66" t="s">
        <v>31</v>
      </c>
      <c r="M11" s="20"/>
      <c r="N11" s="32"/>
      <c r="O11" s="32"/>
      <c r="Q11" s="10"/>
      <c r="R11" s="67"/>
      <c r="S11" s="39"/>
      <c r="T11" s="39"/>
      <c r="U11" s="34"/>
      <c r="V11" s="40"/>
      <c r="W11" s="41"/>
      <c r="X11" s="42"/>
      <c r="Y11" s="7"/>
    </row>
    <row r="12" spans="1:27" ht="15" thickTop="1">
      <c r="C12" s="15"/>
      <c r="D12" s="68"/>
      <c r="E12" s="69"/>
      <c r="H12" s="17"/>
      <c r="I12" s="17"/>
      <c r="Q12" s="10"/>
      <c r="R12" s="23"/>
      <c r="S12" s="23"/>
      <c r="T12" s="71"/>
      <c r="U12" s="34"/>
      <c r="V12" s="40"/>
      <c r="W12" s="41"/>
      <c r="X12" s="42"/>
      <c r="Y12" s="7"/>
    </row>
    <row r="13" spans="1:27" ht="14.25" customHeight="1">
      <c r="C13" s="15" t="s">
        <v>32</v>
      </c>
      <c r="D13" s="341"/>
      <c r="E13" s="342"/>
      <c r="F13" s="342"/>
      <c r="G13" s="342"/>
      <c r="H13" s="342"/>
      <c r="I13" s="342"/>
      <c r="J13" s="342"/>
      <c r="K13" s="342"/>
      <c r="L13" s="342"/>
      <c r="M13" s="342"/>
      <c r="N13" s="342"/>
      <c r="O13" s="342"/>
      <c r="P13" s="343"/>
      <c r="Q13" s="10"/>
      <c r="R13" s="72"/>
      <c r="S13" s="72"/>
      <c r="T13" s="24"/>
      <c r="U13" s="34"/>
      <c r="V13" s="40"/>
      <c r="W13" s="41"/>
      <c r="X13" s="42"/>
      <c r="Y13" s="7"/>
    </row>
    <row r="14" spans="1:27" ht="14.25" customHeight="1">
      <c r="C14" s="15"/>
      <c r="D14" s="344"/>
      <c r="E14" s="345"/>
      <c r="F14" s="345"/>
      <c r="G14" s="345"/>
      <c r="H14" s="345"/>
      <c r="I14" s="345"/>
      <c r="J14" s="345"/>
      <c r="K14" s="345"/>
      <c r="L14" s="345"/>
      <c r="M14" s="345"/>
      <c r="N14" s="345"/>
      <c r="O14" s="345"/>
      <c r="P14" s="346"/>
      <c r="Q14" s="10"/>
      <c r="R14" s="73"/>
      <c r="S14" s="332" t="s">
        <v>33</v>
      </c>
      <c r="T14" s="333"/>
      <c r="U14" s="74"/>
      <c r="V14" s="40"/>
      <c r="W14" s="41"/>
      <c r="X14" s="42"/>
      <c r="Y14" s="7"/>
    </row>
    <row r="15" spans="1:27">
      <c r="C15" s="15"/>
      <c r="D15" s="2" t="s">
        <v>34</v>
      </c>
      <c r="E15" s="75"/>
      <c r="F15" s="75"/>
      <c r="I15" s="17"/>
      <c r="J15" s="17"/>
      <c r="K15" s="17"/>
      <c r="Q15" s="10"/>
      <c r="R15" s="23"/>
      <c r="S15" s="76" t="s">
        <v>35</v>
      </c>
      <c r="T15" s="77" t="s">
        <v>36</v>
      </c>
      <c r="U15" s="34"/>
      <c r="V15" s="40"/>
      <c r="W15" s="41"/>
      <c r="X15" s="42"/>
      <c r="Y15" s="7"/>
    </row>
    <row r="16" spans="1:27" s="2" customFormat="1">
      <c r="C16" s="2" t="s">
        <v>37</v>
      </c>
      <c r="D16" s="2" t="s">
        <v>38</v>
      </c>
      <c r="E16" s="78"/>
      <c r="F16" s="78"/>
      <c r="G16" s="70" t="s">
        <v>39</v>
      </c>
      <c r="H16" s="2" t="s">
        <v>40</v>
      </c>
      <c r="I16" s="2" t="s">
        <v>41</v>
      </c>
      <c r="L16" s="79"/>
      <c r="M16" s="80" t="s">
        <v>12</v>
      </c>
      <c r="N16" s="2" t="s">
        <v>24</v>
      </c>
      <c r="O16" s="2" t="s">
        <v>27</v>
      </c>
      <c r="P16" s="2" t="s">
        <v>29</v>
      </c>
      <c r="Q16" s="10"/>
      <c r="R16" s="23"/>
      <c r="S16" s="81">
        <v>0</v>
      </c>
      <c r="T16" s="82">
        <f>((S16*100)/560)/100</f>
        <v>0</v>
      </c>
      <c r="U16" s="34"/>
      <c r="V16" s="40"/>
      <c r="W16" s="7"/>
      <c r="X16" s="26"/>
      <c r="Y16" s="9"/>
    </row>
    <row r="17" spans="2:28" s="83" customFormat="1">
      <c r="B17" s="83" t="s">
        <v>42</v>
      </c>
      <c r="C17" s="83" t="s">
        <v>43</v>
      </c>
      <c r="D17" s="83" t="s">
        <v>44</v>
      </c>
      <c r="E17" s="84" t="s">
        <v>37</v>
      </c>
      <c r="F17" s="84"/>
      <c r="G17" s="85" t="s">
        <v>45</v>
      </c>
      <c r="H17" s="83" t="s">
        <v>37</v>
      </c>
      <c r="I17" s="83" t="s">
        <v>46</v>
      </c>
      <c r="J17" s="83" t="s">
        <v>47</v>
      </c>
      <c r="M17" s="83" t="s">
        <v>47</v>
      </c>
      <c r="N17" s="83" t="s">
        <v>47</v>
      </c>
      <c r="O17" s="83" t="s">
        <v>47</v>
      </c>
      <c r="P17" s="83" t="s">
        <v>47</v>
      </c>
      <c r="Q17" s="86"/>
      <c r="R17" s="23"/>
      <c r="S17" s="81">
        <v>0</v>
      </c>
      <c r="T17" s="82">
        <f t="shared" ref="T17:T22" si="0">((S17*100)/560)/100</f>
        <v>0</v>
      </c>
      <c r="U17" s="34"/>
      <c r="V17" s="26"/>
      <c r="W17" s="7"/>
      <c r="X17" s="42"/>
      <c r="Y17" s="87"/>
    </row>
    <row r="18" spans="2:28">
      <c r="B18" s="2">
        <v>1</v>
      </c>
      <c r="C18" s="88" t="s">
        <v>277</v>
      </c>
      <c r="D18" s="318">
        <f>(7/22*0.5/9)</f>
        <v>1.7676767676767676E-2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276</v>
      </c>
      <c r="D19" s="318">
        <f>1-D18-D20-D21</f>
        <v>0.98232323232323238</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34"/>
      <c r="Z19" s="334"/>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5" thickBot="1">
      <c r="C24" s="3" t="s">
        <v>48</v>
      </c>
      <c r="D24" s="113" t="str">
        <f>VLOOKUP(D23,Lookup!$A$2:$D$9,4,0)</f>
        <v>8/15-8/25/19</v>
      </c>
      <c r="E24" s="114" t="str">
        <f>VLOOKUP(E23,Lookup!$A$2:$D$9,4,0)</f>
        <v>12/16/19-1/12/20</v>
      </c>
      <c r="F24" s="113" t="str">
        <f>VLOOKUP(F23,Lookup!$A$2:$D$9,4,0)</f>
        <v>3/16-3/22/20</v>
      </c>
      <c r="G24" s="114" t="str">
        <f>VLOOKUP(G23,Lookup!$A$2:$D$9,4,0)</f>
        <v>5/1-5/10/20</v>
      </c>
      <c r="H24" s="113" t="str">
        <f>VLOOKUP(H23,Lookup!$A$2:$D$9,4,0)</f>
        <v>5/11-5/31/20</v>
      </c>
      <c r="I24" s="114" t="str">
        <f>VLOOKUP(I23,Lookup!$A$2:$D$9,4,0)</f>
        <v>6/1-6/30/20</v>
      </c>
      <c r="J24" s="113" t="str">
        <f>VLOOKUP(J23,Lookup!$A$2:$D$9,4,0)</f>
        <v>7/1-7/31/20</v>
      </c>
      <c r="K24" s="115"/>
      <c r="L24" s="113" t="str">
        <f>VLOOKUP(L23,Lookup!$A$2:$D$9,4,0)</f>
        <v>8/1-8/14/20</v>
      </c>
      <c r="M24" s="116" t="s">
        <v>49</v>
      </c>
      <c r="N24" s="109"/>
      <c r="O24" s="109"/>
      <c r="P24" s="109"/>
      <c r="Q24" s="110"/>
      <c r="S24" s="23"/>
      <c r="T24" s="101"/>
      <c r="U24" s="117"/>
      <c r="V24" s="96"/>
      <c r="W24" s="10"/>
      <c r="X24" s="103"/>
      <c r="Y24" s="103"/>
      <c r="Z24" s="91"/>
      <c r="AA24" s="91"/>
    </row>
    <row r="25" spans="2:28" ht="17.25" customHeight="1" thickTop="1">
      <c r="C25" s="102" t="s">
        <v>50</v>
      </c>
      <c r="D25" s="118">
        <f>ROUND(Lookup!E2/560,4)</f>
        <v>0.125</v>
      </c>
      <c r="E25" s="118">
        <f>ROUND(Lookup!E3/560,4)</f>
        <v>0.21429999999999999</v>
      </c>
      <c r="F25" s="118">
        <f>ROUND(Lookup!E4/560,4)</f>
        <v>8.9300000000000004E-2</v>
      </c>
      <c r="G25" s="118">
        <f>ROUND(Lookup!E5/560,4)</f>
        <v>0.1071</v>
      </c>
      <c r="H25" s="118">
        <f>ROUND((Lookup!E6/560),4)</f>
        <v>0.25</v>
      </c>
      <c r="I25" s="118">
        <f>ROUND((Lookup!E7/560),4)</f>
        <v>0.39290000000000003</v>
      </c>
      <c r="J25" s="118">
        <f>ROUND((Lookup!E8/560),4)</f>
        <v>0.39290000000000003</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51</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52</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8">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8">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8">
      <c r="B32" s="140"/>
      <c r="C32" s="155" t="str">
        <f>IF(SUMIF(C35:C65,"OCDO",N35:N65)&gt;M7,"** OCDO MAXIMUM PAY Limit Exceeded **", "")</f>
        <v/>
      </c>
      <c r="E32" s="150"/>
      <c r="F32" s="156" t="str">
        <f>IF(SUMIF(C35:C65,"NSF",N35:N65)&gt;M6,"** NSF MAXIMUM PAY Limit Exceeded **", "")</f>
        <v/>
      </c>
      <c r="G32" s="157"/>
      <c r="H32" s="158" t="s">
        <v>53</v>
      </c>
      <c r="I32" s="159"/>
      <c r="J32" s="146" t="str">
        <f>IF($D$27&lt;&gt;"",$D$27,IF($E$27&lt;&gt;"",$E$27,IF($F$27&lt;&gt;"",$F$27,IF($G$27&lt;&gt;"",$G$27,IF($H$27&lt;&gt;"",$H$27, IF($I$27&lt;&gt;"",$I$27, IF($J$27&lt;&gt;"",$J$27,IF($L$27&lt;&gt;"",$L$27,""))))))))</f>
        <v/>
      </c>
      <c r="L32" s="160" t="s">
        <v>54</v>
      </c>
      <c r="M32" s="160"/>
      <c r="N32" s="123"/>
      <c r="P32" s="143" t="str">
        <f>F32</f>
        <v/>
      </c>
      <c r="R32" s="130"/>
      <c r="S32" s="161"/>
      <c r="T32" s="132"/>
      <c r="U32" s="133"/>
      <c r="V32" s="162"/>
      <c r="W32" s="154"/>
      <c r="X32" s="130"/>
      <c r="Y32" s="136"/>
      <c r="Z32" s="136"/>
      <c r="AA32" s="137"/>
      <c r="AB32" s="137"/>
    </row>
    <row r="33" spans="1:29" ht="15" thickBot="1">
      <c r="C33" s="163" t="s">
        <v>55</v>
      </c>
      <c r="D33" s="163"/>
      <c r="E33" s="163"/>
      <c r="F33" s="164"/>
      <c r="G33" s="165"/>
      <c r="H33" s="165" t="s">
        <v>56</v>
      </c>
      <c r="I33" s="2" t="s">
        <v>57</v>
      </c>
      <c r="J33" s="166"/>
      <c r="L33" s="2" t="s">
        <v>58</v>
      </c>
      <c r="M33" s="2" t="s">
        <v>59</v>
      </c>
      <c r="O33" s="9" t="s">
        <v>60</v>
      </c>
      <c r="P33" s="2" t="s">
        <v>61</v>
      </c>
      <c r="Q33" s="9" t="s">
        <v>62</v>
      </c>
      <c r="R33" s="2" t="s">
        <v>61</v>
      </c>
      <c r="S33" s="26"/>
      <c r="T33" s="167"/>
      <c r="U33" s="101"/>
      <c r="V33" s="117"/>
      <c r="W33" s="168"/>
      <c r="X33" s="154"/>
      <c r="Y33" s="40"/>
      <c r="Z33" s="103"/>
      <c r="AA33" s="103"/>
      <c r="AB33" s="91"/>
      <c r="AC33" s="91"/>
    </row>
    <row r="34" spans="1:29">
      <c r="B34" s="83" t="s">
        <v>42</v>
      </c>
      <c r="C34" s="83" t="s">
        <v>63</v>
      </c>
      <c r="D34" s="83" t="s">
        <v>64</v>
      </c>
      <c r="E34" s="83" t="s">
        <v>56</v>
      </c>
      <c r="F34" s="169" t="s">
        <v>57</v>
      </c>
      <c r="G34" s="169" t="s">
        <v>65</v>
      </c>
      <c r="H34" s="83" t="s">
        <v>66</v>
      </c>
      <c r="I34" s="170" t="s">
        <v>66</v>
      </c>
      <c r="J34" s="171" t="s">
        <v>60</v>
      </c>
      <c r="K34" s="83" t="s">
        <v>35</v>
      </c>
      <c r="L34" s="2" t="s">
        <v>67</v>
      </c>
      <c r="M34" s="2" t="s">
        <v>68</v>
      </c>
      <c r="N34" s="172" t="s">
        <v>69</v>
      </c>
      <c r="O34" s="83" t="s">
        <v>70</v>
      </c>
      <c r="P34" s="83" t="s">
        <v>71</v>
      </c>
      <c r="Q34" s="83" t="s">
        <v>70</v>
      </c>
      <c r="R34" s="83" t="s">
        <v>72</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73</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74</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75</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76</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70JNDtCd0RjjOfIh/FkvM/DW/G3dfuEprtg85nIAWZyYhshDt0IQ6taaK7VgWRJo4vURCkp2LV/dtHD73EiGFA==" saltValue="wOlLVUTXv4CmzLrhmYFBOQ==" spinCount="100000" sheet="1" objects="1" scenarios="1"/>
  <dataConsolidate/>
  <mergeCells count="8">
    <mergeCell ref="S14:T14"/>
    <mergeCell ref="Y19:Z19"/>
    <mergeCell ref="I1:L1"/>
    <mergeCell ref="N1:Q1"/>
    <mergeCell ref="B2:D2"/>
    <mergeCell ref="L2:N2"/>
    <mergeCell ref="D13:P13"/>
    <mergeCell ref="D14:P14"/>
  </mergeCells>
  <conditionalFormatting sqref="C35">
    <cfRule type="expression" dxfId="37" priority="51" stopIfTrue="1">
      <formula>AND(C35="",B35&lt;&gt;"")</formula>
    </cfRule>
  </conditionalFormatting>
  <conditionalFormatting sqref="Y39 Y33:Y37 V20:V21 N6:O7 W6:W7 V8:V16 L11 V27:V30 W25:W26">
    <cfRule type="cellIs" dxfId="36" priority="50" stopIfTrue="1" operator="greaterThan">
      <formula>$M$6</formula>
    </cfRule>
  </conditionalFormatting>
  <conditionalFormatting sqref="P33:R34 R27:R30 S26">
    <cfRule type="cellIs" dxfId="35" priority="49" stopIfTrue="1" operator="lessThan">
      <formula>0</formula>
    </cfRule>
  </conditionalFormatting>
  <conditionalFormatting sqref="I11 R31 T40:T43 U40:V47 T45:T46 P35:R65">
    <cfRule type="cellIs" dxfId="34" priority="48" stopIfTrue="1" operator="lessThan">
      <formula>0</formula>
    </cfRule>
  </conditionalFormatting>
  <conditionalFormatting sqref="O34">
    <cfRule type="cellIs" dxfId="33" priority="47" stopIfTrue="1" operator="equal">
      <formula>"""** ERROR **"""</formula>
    </cfRule>
  </conditionalFormatting>
  <conditionalFormatting sqref="O35:O65">
    <cfRule type="cellIs" dxfId="32" priority="46" stopIfTrue="1" operator="equal">
      <formula>"DATE ERROR"</formula>
    </cfRule>
  </conditionalFormatting>
  <conditionalFormatting sqref="I10">
    <cfRule type="cellIs" dxfId="31" priority="45" stopIfTrue="1" operator="greaterThan">
      <formula>$I$9</formula>
    </cfRule>
  </conditionalFormatting>
  <conditionalFormatting sqref="C35">
    <cfRule type="expression" dxfId="30" priority="44" stopIfTrue="1">
      <formula>AND(C35="",B35&lt;&gt;"")</formula>
    </cfRule>
  </conditionalFormatting>
  <conditionalFormatting sqref="C35">
    <cfRule type="expression" dxfId="29" priority="43" stopIfTrue="1">
      <formula>AND(C35="",B35&lt;&gt;"")</formula>
    </cfRule>
  </conditionalFormatting>
  <conditionalFormatting sqref="N1">
    <cfRule type="containsText" dxfId="28"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27" priority="41" stopIfTrue="1">
      <formula>AND(D35="",C35&lt;&gt;"")</formula>
    </cfRule>
  </conditionalFormatting>
  <conditionalFormatting sqref="D26:J26 L26">
    <cfRule type="expression" dxfId="26" priority="39" stopIfTrue="1">
      <formula>INDEX($A$1:$M26,ROW()-1,COLUMN())=INDEX($A$1:$M26,ROW(),COLUMN())</formula>
    </cfRule>
    <cfRule type="expression" dxfId="25" priority="40" stopIfTrue="1">
      <formula>INDEX($A$1:$M26,ROW()-1,COLUMN())&lt;INDEX($A$1:$M26,ROW(),COLUMN())</formula>
    </cfRule>
  </conditionalFormatting>
  <conditionalFormatting sqref="L8:L10">
    <cfRule type="cellIs" dxfId="24" priority="38" stopIfTrue="1" operator="greaterThan">
      <formula>$M$6</formula>
    </cfRule>
  </conditionalFormatting>
  <conditionalFormatting sqref="C36:C65">
    <cfRule type="expression" dxfId="23" priority="37" stopIfTrue="1">
      <formula>AND(C36="",B36&lt;&gt;"")</formula>
    </cfRule>
  </conditionalFormatting>
  <conditionalFormatting sqref="C36:C65">
    <cfRule type="expression" dxfId="22" priority="36" stopIfTrue="1">
      <formula>AND(C36="",B36&lt;&gt;"")</formula>
    </cfRule>
  </conditionalFormatting>
  <conditionalFormatting sqref="C36:C65">
    <cfRule type="expression" dxfId="21" priority="35" stopIfTrue="1">
      <formula>AND(C36="",B36&lt;&gt;"")</formula>
    </cfRule>
  </conditionalFormatting>
  <dataValidations count="6">
    <dataValidation type="decimal" allowBlank="1" showInputMessage="1" showErrorMessage="1" sqref="M26">
      <formula1>0</formula1>
      <formula2>1</formula2>
    </dataValidation>
    <dataValidation type="list" allowBlank="1" showInputMessage="1" showErrorMessage="1" sqref="G31:G32">
      <formula1>IF($C$35&lt;&gt;"ODOT",Period,ODOTlist)</formula1>
    </dataValidation>
    <dataValidation type="date" allowBlank="1" showInputMessage="1" showErrorMessage="1" error="Enter Valid Date Format xx/xx/xxxx" sqref="E35:E65">
      <formula1>1</formula1>
      <formula2>2958465</formula2>
    </dataValidation>
    <dataValidation type="list" allowBlank="1" showInputMessage="1" showErrorMessage="1" sqref="B35:B65">
      <formula1>PL</formula1>
    </dataValidation>
    <dataValidation type="list" allowBlank="1" showInputMessage="1" showErrorMessage="1" sqref="C35:C65">
      <formula1>Agency</formula1>
    </dataValidation>
    <dataValidation type="list" allowBlank="1" showInputMessage="1" showErrorMessage="1" error="Please Eneter valid Period_x000a__x000a_For: ODOT EXC can only be paid in Summer Period" sqref="G35:G65">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8">
    <tabColor theme="5" tint="-0.249977111117893"/>
    <pageSetUpPr fitToPage="1"/>
  </sheetPr>
  <dimension ref="A1:AC917"/>
  <sheetViews>
    <sheetView showGridLines="0" defaultGridColor="0" colorId="22" zoomScale="85" zoomScaleNormal="85" workbookViewId="0">
      <selection activeCell="P10" sqref="P10"/>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47" t="s">
        <v>77</v>
      </c>
      <c r="B1" s="347"/>
      <c r="C1" s="347"/>
      <c r="D1" s="347"/>
      <c r="E1" s="347"/>
      <c r="F1" s="347"/>
      <c r="G1" s="347"/>
      <c r="H1" s="347"/>
      <c r="I1" s="347"/>
      <c r="J1" s="347"/>
      <c r="K1" s="347"/>
      <c r="L1" s="347"/>
      <c r="M1" s="347"/>
      <c r="N1" s="347"/>
      <c r="O1" s="347"/>
      <c r="P1" s="347"/>
      <c r="Q1" s="347"/>
      <c r="R1" s="347"/>
    </row>
    <row r="2" spans="1:27" ht="24.75" customHeight="1" thickBot="1">
      <c r="A2" s="1" t="s">
        <v>0</v>
      </c>
      <c r="F2" s="4" t="s">
        <v>273</v>
      </c>
      <c r="G2" s="5">
        <f>+Lookup!B2</f>
        <v>43692</v>
      </c>
      <c r="H2" s="5">
        <f>+Lookup!C9</f>
        <v>44057</v>
      </c>
      <c r="I2" s="335" t="s">
        <v>1</v>
      </c>
      <c r="J2" s="335"/>
      <c r="K2" s="335"/>
      <c r="L2" s="348"/>
      <c r="M2" s="6">
        <v>1200</v>
      </c>
      <c r="N2" s="336"/>
      <c r="O2" s="349"/>
      <c r="P2" s="349"/>
      <c r="Q2" s="349"/>
      <c r="W2" s="7"/>
      <c r="X2" s="7"/>
      <c r="Y2" s="7"/>
      <c r="Z2" s="7"/>
      <c r="AA2" s="7"/>
    </row>
    <row r="3" spans="1:27" ht="20.25" customHeight="1" thickBot="1">
      <c r="B3" s="337" t="s">
        <v>5</v>
      </c>
      <c r="C3" s="338"/>
      <c r="D3" s="339"/>
      <c r="F3" s="4"/>
      <c r="H3" s="8" t="s">
        <v>6</v>
      </c>
      <c r="I3" s="9"/>
      <c r="L3" s="340" t="s">
        <v>7</v>
      </c>
      <c r="M3" s="340"/>
      <c r="N3" s="340"/>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78</v>
      </c>
      <c r="F5" s="3"/>
      <c r="G5" s="17" t="s">
        <v>9</v>
      </c>
      <c r="H5" s="18">
        <f>((($D$19*$H$19)+($D$20*$H$20)+($D$21*$H$21)+($D$22*$H$22))*((14/32)))</f>
        <v>69105.75</v>
      </c>
      <c r="I5" s="19">
        <v>1</v>
      </c>
      <c r="N5" s="20"/>
      <c r="P5" s="21"/>
      <c r="Q5" s="10"/>
      <c r="R5" s="22"/>
      <c r="S5" s="23"/>
      <c r="T5" s="23"/>
      <c r="U5" s="24"/>
      <c r="V5" s="25"/>
      <c r="W5" s="26"/>
      <c r="X5" s="27"/>
      <c r="Y5" s="25"/>
      <c r="Z5" s="7"/>
    </row>
    <row r="6" spans="1:27">
      <c r="C6" s="15" t="s">
        <v>10</v>
      </c>
      <c r="D6" s="212" t="s">
        <v>79</v>
      </c>
      <c r="F6" s="3"/>
      <c r="G6" s="17" t="s">
        <v>11</v>
      </c>
      <c r="H6" s="29"/>
      <c r="I6" s="30"/>
      <c r="L6" s="213"/>
      <c r="M6" s="20"/>
      <c r="N6" s="32"/>
      <c r="O6" s="32"/>
      <c r="P6" s="33"/>
      <c r="Q6" s="32"/>
      <c r="R6" s="22"/>
      <c r="S6" s="23"/>
      <c r="T6" s="23"/>
      <c r="U6" s="24"/>
      <c r="V6" s="34"/>
      <c r="W6" s="26"/>
      <c r="X6" s="7"/>
      <c r="Y6" s="26"/>
      <c r="Z6" s="7"/>
    </row>
    <row r="7" spans="1:27">
      <c r="C7" s="15" t="s">
        <v>13</v>
      </c>
      <c r="D7" s="28" t="s">
        <v>80</v>
      </c>
      <c r="F7" s="3"/>
      <c r="G7" s="17" t="s">
        <v>14</v>
      </c>
      <c r="H7" s="29"/>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81</v>
      </c>
      <c r="F8" s="3"/>
      <c r="G8" s="17" t="s">
        <v>19</v>
      </c>
      <c r="H8" s="29"/>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2400</v>
      </c>
      <c r="J9" s="52" t="str">
        <f>IF(ROUND(I11,2)&gt;=0,""," ** ERROR: Annual EXC MAXIMUM % EffortLimit Exceeded **")</f>
        <v/>
      </c>
      <c r="K9" s="52"/>
      <c r="L9" s="53" t="s">
        <v>24</v>
      </c>
      <c r="M9" s="29">
        <f>192300*32/52*14/32</f>
        <v>51773.076923076922</v>
      </c>
      <c r="N9" s="32">
        <f>ROUND(+M9/560,2)</f>
        <v>92.45</v>
      </c>
      <c r="O9" s="32"/>
      <c r="P9" s="54" t="str">
        <f>'EXC Calculator'!P8</f>
        <v>1/6/19 to 1/31/2020</v>
      </c>
      <c r="Q9" s="10"/>
      <c r="R9" s="67"/>
      <c r="S9" s="215"/>
      <c r="T9" s="39"/>
      <c r="U9" s="34"/>
      <c r="V9" s="40"/>
      <c r="W9" s="41"/>
      <c r="X9" s="42"/>
      <c r="Y9" s="7"/>
    </row>
    <row r="10" spans="1:27">
      <c r="C10" s="15"/>
      <c r="D10" s="59"/>
      <c r="F10" s="49"/>
      <c r="G10" s="60" t="s">
        <v>26</v>
      </c>
      <c r="H10" s="61">
        <f>H5-H6-H8-H7-H9</f>
        <v>66705.75</v>
      </c>
      <c r="I10" s="216">
        <f>I5+I6-I8-I7</f>
        <v>1</v>
      </c>
      <c r="L10" s="53" t="s">
        <v>27</v>
      </c>
      <c r="M10" s="29" t="s">
        <v>2</v>
      </c>
      <c r="N10" s="32">
        <f>ROUND(+M10/560,2)</f>
        <v>0</v>
      </c>
      <c r="O10" s="32"/>
      <c r="P10" s="3" t="s">
        <v>2</v>
      </c>
      <c r="Q10" s="10"/>
      <c r="R10" s="67"/>
      <c r="S10" s="215"/>
      <c r="T10" s="39"/>
      <c r="U10" s="34"/>
      <c r="V10" s="40"/>
      <c r="W10" s="41"/>
      <c r="X10" s="42"/>
      <c r="Y10" s="7"/>
    </row>
    <row r="11" spans="1:27">
      <c r="C11" s="15"/>
      <c r="D11" s="59"/>
      <c r="F11" s="49"/>
      <c r="G11" s="60" t="s">
        <v>28</v>
      </c>
      <c r="H11" s="63">
        <f>SUM(N36:N66)</f>
        <v>65852.010000000009</v>
      </c>
      <c r="I11" s="62">
        <f>SUM(J36:J66)</f>
        <v>0.76500000000000001</v>
      </c>
      <c r="L11" s="53" t="s">
        <v>29</v>
      </c>
      <c r="M11" s="29">
        <v>0</v>
      </c>
      <c r="N11" s="32">
        <f>ROUND(+M11/560,2)</f>
        <v>0</v>
      </c>
      <c r="O11" s="32"/>
      <c r="P11" s="217" t="s">
        <v>82</v>
      </c>
      <c r="Q11" s="10"/>
      <c r="R11" s="67"/>
      <c r="S11" s="39"/>
      <c r="T11" s="39"/>
      <c r="U11" s="34"/>
      <c r="V11" s="40"/>
      <c r="W11" s="41"/>
      <c r="X11" s="42"/>
      <c r="Y11" s="7"/>
    </row>
    <row r="12" spans="1:27" ht="15" thickBot="1">
      <c r="C12" s="15"/>
      <c r="D12" s="59"/>
      <c r="F12" s="49"/>
      <c r="G12" s="60" t="s">
        <v>30</v>
      </c>
      <c r="H12" s="64">
        <f>H10-H11</f>
        <v>853.73999999999069</v>
      </c>
      <c r="I12" s="65">
        <f>I10-I11</f>
        <v>0.23499999999999999</v>
      </c>
      <c r="L12" s="66" t="s">
        <v>31</v>
      </c>
      <c r="M12" s="20"/>
      <c r="N12" s="32"/>
      <c r="O12" s="32"/>
      <c r="Q12" s="10"/>
      <c r="R12" s="67"/>
      <c r="S12" s="39"/>
      <c r="T12" s="39"/>
      <c r="U12" s="34"/>
      <c r="V12" s="40"/>
      <c r="W12" s="41"/>
      <c r="X12" s="42"/>
      <c r="Y12" s="7"/>
    </row>
    <row r="13" spans="1:27" ht="15" thickTop="1">
      <c r="C13" s="15"/>
      <c r="D13" s="68"/>
      <c r="E13" s="69"/>
      <c r="H13" s="17"/>
      <c r="I13" s="17"/>
      <c r="Q13" s="10"/>
      <c r="R13" s="23"/>
      <c r="S13" s="23"/>
      <c r="T13" s="71"/>
      <c r="U13" s="34"/>
      <c r="V13" s="40"/>
      <c r="W13" s="41"/>
      <c r="X13" s="42"/>
      <c r="Y13" s="7"/>
    </row>
    <row r="14" spans="1:27" ht="14.25" customHeight="1">
      <c r="C14" s="15" t="s">
        <v>32</v>
      </c>
      <c r="D14" s="341"/>
      <c r="E14" s="342"/>
      <c r="F14" s="342"/>
      <c r="G14" s="342"/>
      <c r="H14" s="342"/>
      <c r="I14" s="342"/>
      <c r="J14" s="342"/>
      <c r="K14" s="342"/>
      <c r="L14" s="342"/>
      <c r="M14" s="342"/>
      <c r="N14" s="342"/>
      <c r="O14" s="342"/>
      <c r="P14" s="343"/>
      <c r="Q14" s="10"/>
      <c r="R14" s="72"/>
      <c r="S14" s="72"/>
      <c r="T14" s="24"/>
      <c r="U14" s="34"/>
      <c r="V14" s="40"/>
      <c r="W14" s="41"/>
      <c r="X14" s="42"/>
      <c r="Y14" s="7"/>
    </row>
    <row r="15" spans="1:27" ht="14.25" customHeight="1">
      <c r="C15" s="15"/>
      <c r="D15" s="344"/>
      <c r="E15" s="345"/>
      <c r="F15" s="345"/>
      <c r="G15" s="345"/>
      <c r="H15" s="345"/>
      <c r="I15" s="345"/>
      <c r="J15" s="345"/>
      <c r="K15" s="345"/>
      <c r="L15" s="345"/>
      <c r="M15" s="345"/>
      <c r="N15" s="345"/>
      <c r="O15" s="345"/>
      <c r="P15" s="346"/>
      <c r="Q15" s="10"/>
      <c r="R15" s="73"/>
      <c r="S15" s="332" t="s">
        <v>33</v>
      </c>
      <c r="T15" s="333"/>
      <c r="U15" s="74"/>
      <c r="V15" s="40"/>
      <c r="W15" s="41"/>
      <c r="X15" s="42"/>
      <c r="Y15" s="7"/>
    </row>
    <row r="16" spans="1:27">
      <c r="C16" s="15"/>
      <c r="D16" s="2" t="s">
        <v>34</v>
      </c>
      <c r="E16" s="75"/>
      <c r="F16" s="75"/>
      <c r="I16" s="17"/>
      <c r="J16" s="17"/>
      <c r="K16" s="17"/>
      <c r="Q16" s="10"/>
      <c r="R16" s="23"/>
      <c r="S16" s="76" t="s">
        <v>35</v>
      </c>
      <c r="T16" s="77" t="s">
        <v>36</v>
      </c>
      <c r="U16" s="34"/>
      <c r="V16" s="40"/>
      <c r="W16" s="41"/>
      <c r="X16" s="42"/>
      <c r="Y16" s="7"/>
    </row>
    <row r="17" spans="2:27" s="2" customFormat="1">
      <c r="C17" s="2" t="s">
        <v>37</v>
      </c>
      <c r="D17" s="2" t="s">
        <v>38</v>
      </c>
      <c r="E17" s="78"/>
      <c r="F17" s="78"/>
      <c r="G17" s="70" t="s">
        <v>39</v>
      </c>
      <c r="H17" s="2" t="s">
        <v>40</v>
      </c>
      <c r="I17" s="2" t="s">
        <v>41</v>
      </c>
      <c r="J17" s="2" t="s">
        <v>83</v>
      </c>
      <c r="N17" s="2" t="s">
        <v>84</v>
      </c>
      <c r="O17" s="2" t="s">
        <v>85</v>
      </c>
      <c r="P17" s="2" t="s">
        <v>86</v>
      </c>
      <c r="Q17" s="10"/>
      <c r="R17" s="23"/>
      <c r="S17" s="81">
        <v>0</v>
      </c>
      <c r="T17" s="82">
        <f>((S17*100)/560)/100</f>
        <v>0</v>
      </c>
      <c r="U17" s="34"/>
      <c r="V17" s="40"/>
      <c r="W17" s="7"/>
      <c r="X17" s="26"/>
      <c r="Y17" s="9"/>
    </row>
    <row r="18" spans="2:27" s="83" customFormat="1">
      <c r="B18" s="83" t="s">
        <v>42</v>
      </c>
      <c r="C18" s="83" t="s">
        <v>43</v>
      </c>
      <c r="D18" s="83" t="s">
        <v>44</v>
      </c>
      <c r="E18" s="84" t="s">
        <v>37</v>
      </c>
      <c r="F18" s="84"/>
      <c r="G18" s="85" t="s">
        <v>45</v>
      </c>
      <c r="H18" s="83" t="s">
        <v>37</v>
      </c>
      <c r="I18" s="83" t="s">
        <v>46</v>
      </c>
      <c r="J18" s="83" t="s">
        <v>46</v>
      </c>
      <c r="L18" s="83" t="s">
        <v>47</v>
      </c>
      <c r="M18" s="83" t="s">
        <v>47</v>
      </c>
      <c r="N18" s="83" t="s">
        <v>47</v>
      </c>
      <c r="O18" s="83" t="s">
        <v>47</v>
      </c>
      <c r="P18" s="83" t="s">
        <v>47</v>
      </c>
      <c r="Q18" s="86"/>
      <c r="R18" s="23"/>
      <c r="S18" s="81">
        <v>0</v>
      </c>
      <c r="T18" s="82">
        <f t="shared" ref="T18:T23" si="0">((S18*100)/560)/100</f>
        <v>0</v>
      </c>
      <c r="U18" s="34"/>
      <c r="V18" s="26"/>
      <c r="W18" s="7"/>
      <c r="X18" s="42"/>
      <c r="Y18" s="87"/>
    </row>
    <row r="19" spans="2:27">
      <c r="B19" s="2">
        <v>1</v>
      </c>
      <c r="C19" s="97" t="s">
        <v>87</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92.45</v>
      </c>
      <c r="O19" s="94">
        <f>IF(C19="","",IF(J19&gt;$N$10,$N$10,J19))</f>
        <v>0</v>
      </c>
      <c r="P19" s="94">
        <f>IF(C19="","",IF(J19&gt;$N$11,$N$11,J19))</f>
        <v>0</v>
      </c>
      <c r="Q19" s="10"/>
      <c r="R19" s="23"/>
      <c r="S19" s="81">
        <v>0</v>
      </c>
      <c r="T19" s="82">
        <f t="shared" si="0"/>
        <v>0</v>
      </c>
      <c r="U19" s="96"/>
      <c r="V19" s="10"/>
      <c r="X19" s="10"/>
    </row>
    <row r="20" spans="2:27">
      <c r="B20" s="2">
        <v>2</v>
      </c>
      <c r="C20" s="97" t="s">
        <v>88</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92.45</v>
      </c>
      <c r="O20" s="94">
        <f>IF(C20="","",IF(J20&gt;$N$10,$N$10,J20))</f>
        <v>0</v>
      </c>
      <c r="P20" s="94">
        <f>IF(C20="","",IF(J20&gt;$N$11,$N$11,J20))</f>
        <v>0</v>
      </c>
      <c r="Q20" s="10"/>
      <c r="R20" s="23"/>
      <c r="S20" s="81">
        <v>0</v>
      </c>
      <c r="T20" s="82">
        <f t="shared" si="0"/>
        <v>0</v>
      </c>
      <c r="U20" s="96"/>
      <c r="V20" s="10"/>
      <c r="W20" s="99"/>
      <c r="X20" s="99"/>
      <c r="Y20" s="334"/>
      <c r="Z20" s="334"/>
    </row>
    <row r="21" spans="2:27">
      <c r="B21" s="2">
        <v>3</v>
      </c>
      <c r="C21" s="97" t="s">
        <v>89</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92.45</v>
      </c>
      <c r="O21" s="94">
        <f>IF(C21="","",IF(J21&gt;$N$10,$N$10,J21))</f>
        <v>0</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5" thickBot="1">
      <c r="C25" s="3" t="s">
        <v>48</v>
      </c>
      <c r="D25" s="113" t="str">
        <f>VLOOKUP(D24,Lookup!$A$2:$D$9,4,0)</f>
        <v>8/15-8/25/19</v>
      </c>
      <c r="E25" s="114" t="str">
        <f>VLOOKUP(E24,Lookup!$A$2:$D$9,4,0)</f>
        <v>12/16/19-1/12/20</v>
      </c>
      <c r="F25" s="113" t="str">
        <f>VLOOKUP(F24,Lookup!$A$2:$D$9,4,0)</f>
        <v>3/16-3/22/20</v>
      </c>
      <c r="G25" s="114" t="str">
        <f>VLOOKUP(G24,Lookup!$A$2:$D$9,4,0)</f>
        <v>5/1-5/10/20</v>
      </c>
      <c r="H25" s="113" t="str">
        <f>VLOOKUP(H24,Lookup!$A$2:$D$9,4,0)</f>
        <v>5/11-5/31/20</v>
      </c>
      <c r="I25" s="114" t="str">
        <f>VLOOKUP(I24,Lookup!$A$2:$D$9,4,0)</f>
        <v>6/1-6/30/20</v>
      </c>
      <c r="J25" s="113" t="str">
        <f>VLOOKUP(J24,Lookup!$A$2:$D$9,4,0)</f>
        <v>7/1-7/31/20</v>
      </c>
      <c r="K25" s="115"/>
      <c r="L25" s="113" t="str">
        <f>VLOOKUP(L24,Lookup!$A$2:$D$9,4,0)</f>
        <v>8/1-8/14/20</v>
      </c>
      <c r="M25" s="116" t="s">
        <v>49</v>
      </c>
      <c r="N25" s="109"/>
      <c r="O25" s="109"/>
      <c r="P25" s="109"/>
      <c r="Q25" s="110"/>
      <c r="S25" s="23"/>
      <c r="T25" s="101"/>
      <c r="U25" s="117"/>
      <c r="V25" s="96"/>
      <c r="W25" s="10"/>
      <c r="X25" s="103"/>
      <c r="Y25" s="103"/>
      <c r="Z25" s="91"/>
      <c r="AA25" s="91"/>
    </row>
    <row r="26" spans="2:27" ht="17.25" customHeight="1" thickTop="1">
      <c r="C26" s="102" t="s">
        <v>50</v>
      </c>
      <c r="D26" s="118">
        <f>ROUND(Lookup!E2/560,4)</f>
        <v>0.125</v>
      </c>
      <c r="E26" s="118">
        <f>ROUND(Lookup!E3/560,4)</f>
        <v>0.21429999999999999</v>
      </c>
      <c r="F26" s="118">
        <f>ROUND(Lookup!E4/560,4)</f>
        <v>8.9300000000000004E-2</v>
      </c>
      <c r="G26" s="118">
        <f>ROUND(Lookup!E5/560,4)</f>
        <v>0.1071</v>
      </c>
      <c r="H26" s="118">
        <f>ROUND((Lookup!E6/560),4)</f>
        <v>0.25</v>
      </c>
      <c r="I26" s="118">
        <f>ROUND((Lookup!E7/560),4)</f>
        <v>0.39290000000000003</v>
      </c>
      <c r="J26" s="118">
        <f>ROUND((Lookup!E8/560),4)</f>
        <v>0.39290000000000003</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51</v>
      </c>
      <c r="D27" s="126">
        <f>SUMIF(G36:G66,"PreFall Break",J36:J66)</f>
        <v>0.06</v>
      </c>
      <c r="E27" s="126">
        <f>SUMIF(G36:G66,"Fall Break",J36:J66)</f>
        <v>0.20499999999999999</v>
      </c>
      <c r="F27" s="126">
        <f>SUMIF(G36:G66,"Spring Break",J36:J66)</f>
        <v>7.4999999999999997E-2</v>
      </c>
      <c r="G27" s="126">
        <f>SUMIF(G36:G66,"PreSummer Break",J36:J66)</f>
        <v>0</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52</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8">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8">
      <c r="B33" s="140"/>
      <c r="C33" s="155" t="str">
        <f>IF(SUMIF(C36:C66,"OCDO",N36:N66)&gt;M8,"** OCDO MAXIMUM PAY Limit Exceeded **", "")</f>
        <v/>
      </c>
      <c r="E33" s="150"/>
      <c r="F33" s="156" t="str">
        <f>IF(SUMIF(C36:C66,"NSF",N36:N66)&gt;M7,"** NSF MAXIMUM PAY Limit Exceeded **", "")</f>
        <v/>
      </c>
      <c r="G33" s="157"/>
      <c r="H33" s="158" t="s">
        <v>53</v>
      </c>
      <c r="I33" s="159"/>
      <c r="J33" s="146" t="str">
        <f>IF($D$28&lt;&gt;"",$D$28,IF($E$28&lt;&gt;"",$E$28,IF($F$28&lt;&gt;"",$F$28,IF($G$28&lt;&gt;"",$G$28,IF($H$28&lt;&gt;"",$H$28, IF($I$28&lt;&gt;"",$I$28, IF($J$28&lt;&gt;"",$J$28,IF($L$28&lt;&gt;"",$L$28,""))))))))</f>
        <v/>
      </c>
      <c r="L33" s="160" t="s">
        <v>54</v>
      </c>
      <c r="M33" s="160"/>
      <c r="N33" s="123"/>
      <c r="P33" s="143" t="str">
        <f>F33</f>
        <v/>
      </c>
      <c r="R33" s="130"/>
      <c r="S33" s="161"/>
      <c r="T33" s="132"/>
      <c r="U33" s="133"/>
      <c r="V33" s="162"/>
      <c r="W33" s="154"/>
      <c r="X33" s="130"/>
      <c r="Y33" s="136"/>
      <c r="Z33" s="136"/>
      <c r="AA33" s="137"/>
      <c r="AB33" s="137"/>
    </row>
    <row r="34" spans="1:29" ht="15" thickBot="1">
      <c r="C34" s="163" t="s">
        <v>55</v>
      </c>
      <c r="D34" s="163"/>
      <c r="E34" s="163"/>
      <c r="F34" s="164"/>
      <c r="G34" s="165"/>
      <c r="H34" s="165" t="s">
        <v>56</v>
      </c>
      <c r="I34" s="2" t="s">
        <v>57</v>
      </c>
      <c r="J34" s="166"/>
      <c r="L34" s="2" t="s">
        <v>58</v>
      </c>
      <c r="M34" s="2" t="s">
        <v>59</v>
      </c>
      <c r="O34" s="9" t="s">
        <v>60</v>
      </c>
      <c r="P34" s="2" t="s">
        <v>61</v>
      </c>
      <c r="Q34" s="9" t="s">
        <v>62</v>
      </c>
      <c r="R34" s="2" t="s">
        <v>61</v>
      </c>
      <c r="S34" s="26"/>
      <c r="T34" s="167"/>
      <c r="U34" s="101"/>
      <c r="V34" s="117"/>
      <c r="W34" s="168"/>
      <c r="X34" s="154"/>
      <c r="Y34" s="40"/>
      <c r="Z34" s="103"/>
      <c r="AA34" s="103"/>
      <c r="AB34" s="91"/>
      <c r="AC34" s="91"/>
    </row>
    <row r="35" spans="1:29">
      <c r="B35" s="83" t="s">
        <v>42</v>
      </c>
      <c r="C35" s="83" t="s">
        <v>63</v>
      </c>
      <c r="D35" s="83" t="s">
        <v>64</v>
      </c>
      <c r="E35" s="83" t="s">
        <v>56</v>
      </c>
      <c r="F35" s="169" t="s">
        <v>57</v>
      </c>
      <c r="G35" s="169" t="s">
        <v>65</v>
      </c>
      <c r="H35" s="83" t="s">
        <v>66</v>
      </c>
      <c r="I35" s="170" t="s">
        <v>66</v>
      </c>
      <c r="J35" s="171" t="s">
        <v>60</v>
      </c>
      <c r="K35" s="83" t="s">
        <v>35</v>
      </c>
      <c r="L35" s="2" t="s">
        <v>67</v>
      </c>
      <c r="M35" s="2" t="s">
        <v>68</v>
      </c>
      <c r="N35" s="172" t="s">
        <v>69</v>
      </c>
      <c r="O35" s="83" t="s">
        <v>70</v>
      </c>
      <c r="P35" s="83" t="s">
        <v>71</v>
      </c>
      <c r="Q35" s="83" t="s">
        <v>70</v>
      </c>
      <c r="R35" s="83" t="s">
        <v>72</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41852</v>
      </c>
      <c r="F36" s="97">
        <v>44043</v>
      </c>
      <c r="G36" s="97" t="s">
        <v>90</v>
      </c>
      <c r="H36" s="175">
        <f>IF(G36="", "", VLOOKUP($G36,Lookup!$A$2:$C$9,2, FALSE))</f>
        <v>43692</v>
      </c>
      <c r="I36" s="175">
        <f>IF(G36="", "", VLOOKUP($G36,Lookup!$A$2:$C$9,3, FALSE))</f>
        <v>43702</v>
      </c>
      <c r="J36" s="176">
        <v>0.06</v>
      </c>
      <c r="K36" s="177">
        <v>75.599999999999994</v>
      </c>
      <c r="L36" s="178">
        <v>43373</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57775.5</v>
      </c>
      <c r="S36" s="220"/>
      <c r="T36" s="184" t="s">
        <v>73</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84</v>
      </c>
      <c r="D37" s="174">
        <v>1001011</v>
      </c>
      <c r="E37" s="97">
        <v>41852</v>
      </c>
      <c r="F37" s="97">
        <v>44043</v>
      </c>
      <c r="G37" s="97" t="s">
        <v>91</v>
      </c>
      <c r="H37" s="175">
        <f>IF(G37="", "", VLOOKUP($G37,Lookup!$A$2:$C$9,2, FALSE))</f>
        <v>43815</v>
      </c>
      <c r="I37" s="175">
        <f>IF(G37="", "", VLOOKUP($G37,Lookup!$A$2:$C$9,3, FALSE))</f>
        <v>43842</v>
      </c>
      <c r="J37" s="176">
        <v>0.20499999999999999</v>
      </c>
      <c r="K37" s="177">
        <v>114.8</v>
      </c>
      <c r="L37" s="178">
        <v>43220</v>
      </c>
      <c r="M37" s="179">
        <v>600992219</v>
      </c>
      <c r="N37" s="180">
        <f>IF(AND(C37="",B37&lt;&gt;""),"AWD NAME!",IF(J37&gt;P36,"",IF(B37="""",(""),IF(C37="ODOT",K37*VLOOKUP(B37,$B$19:$P$22,11),IF(C37="NIH1",K37*VLOOKUP(B37,$B$19:$P$22,13),IF(C37="NIH2",K37*VLOOKUP(B37,$B$19:$P$22,14),IF(C37="NIH3",K37*VLOOKUP(B37,$B$19:$P$22,15),K37*VLOOKUP(B37,$B$19:$P$22,9))))))))</f>
        <v>10613.26</v>
      </c>
      <c r="O37" s="181">
        <f>IF(B37=0,"",IF(H37&gt;F37,"DATE ERROR",IF(H37&lt;E37,"DATE ERROR",IF(I37&gt;F37,"DATE ERROR",IF(I37&lt;E37,"DATE ERROR",SUM($J$36:$J37))))))</f>
        <v>0.26500000000000001</v>
      </c>
      <c r="P37" s="181">
        <f t="shared" si="2"/>
        <v>0.73499999999999999</v>
      </c>
      <c r="Q37" s="182">
        <f>IF(B37=0,"",SUM($N$36:N37))</f>
        <v>19543.510000000002</v>
      </c>
      <c r="R37" s="182">
        <f t="shared" si="3"/>
        <v>47162.239999999998</v>
      </c>
      <c r="S37" s="220"/>
      <c r="T37" s="185" t="s">
        <v>74</v>
      </c>
      <c r="U37" s="23"/>
      <c r="V37" s="23"/>
      <c r="W37" s="168"/>
      <c r="X37" s="154"/>
      <c r="Y37" s="40"/>
      <c r="Z37" s="103"/>
      <c r="AA37" s="103"/>
      <c r="AB37" s="91"/>
      <c r="AC37" s="91"/>
    </row>
    <row r="38" spans="1:29" ht="15.75" customHeight="1">
      <c r="A38" s="52" t="str">
        <f t="shared" si="4"/>
        <v/>
      </c>
      <c r="B38" s="174">
        <v>3</v>
      </c>
      <c r="C38" s="174" t="s">
        <v>20</v>
      </c>
      <c r="D38" s="174">
        <v>1001012</v>
      </c>
      <c r="E38" s="97">
        <v>41852</v>
      </c>
      <c r="F38" s="97">
        <v>44043</v>
      </c>
      <c r="G38" s="97" t="s">
        <v>92</v>
      </c>
      <c r="H38" s="175">
        <f>IF(G38="", "", VLOOKUP($G38,Lookup!$A$2:$C$9,2, FALSE))</f>
        <v>43906</v>
      </c>
      <c r="I38" s="175">
        <f>IF(G38="", "", VLOOKUP($G38,Lookup!$A$2:$C$9,3, FALSE))</f>
        <v>43912</v>
      </c>
      <c r="J38" s="176">
        <v>7.4999999999999997E-2</v>
      </c>
      <c r="K38" s="177">
        <v>42</v>
      </c>
      <c r="L38" s="178">
        <v>43220</v>
      </c>
      <c r="M38" s="179">
        <v>600992220</v>
      </c>
      <c r="N38" s="180">
        <f t="shared" ref="N38:N66" si="5">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24846.010000000002</v>
      </c>
      <c r="R38" s="182">
        <f t="shared" si="3"/>
        <v>41859.74</v>
      </c>
      <c r="S38" s="220"/>
      <c r="T38" s="186" t="s">
        <v>75</v>
      </c>
      <c r="U38" s="23"/>
      <c r="V38" s="23"/>
      <c r="W38" s="168"/>
      <c r="X38" s="154"/>
      <c r="Y38" s="40"/>
      <c r="Z38" s="103"/>
      <c r="AA38" s="103"/>
      <c r="AB38" s="91"/>
      <c r="AC38" s="91"/>
    </row>
    <row r="39" spans="1:29" ht="15.75" customHeight="1">
      <c r="A39" s="52" t="str">
        <f t="shared" si="4"/>
        <v/>
      </c>
      <c r="B39" s="174">
        <v>3</v>
      </c>
      <c r="C39" s="174" t="s">
        <v>31</v>
      </c>
      <c r="D39" s="174">
        <v>1001013</v>
      </c>
      <c r="E39" s="97">
        <v>41852</v>
      </c>
      <c r="F39" s="97">
        <v>44043</v>
      </c>
      <c r="G39" s="97" t="s">
        <v>93</v>
      </c>
      <c r="H39" s="175">
        <f>IF(G39="", "", VLOOKUP($G39,Lookup!$A$2:$C$9,2, FALSE))</f>
        <v>43962</v>
      </c>
      <c r="I39" s="175">
        <f>IF(G39="", "", VLOOKUP($G39,Lookup!$A$2:$C$9,3, FALSE))</f>
        <v>43982</v>
      </c>
      <c r="J39" s="176">
        <v>0.17</v>
      </c>
      <c r="K39" s="177">
        <v>184.8</v>
      </c>
      <c r="L39" s="178">
        <v>43281</v>
      </c>
      <c r="M39" s="179">
        <v>600992221</v>
      </c>
      <c r="N39" s="180">
        <f t="shared" si="5"/>
        <v>23331</v>
      </c>
      <c r="O39" s="181">
        <f>IF(B39=0,"",IF(H39&gt;F39,"DATE ERROR",IF(H39&lt;E39,"DATE ERROR",IF(I39&gt;F39,"DATE ERROR",IF(I39&lt;E39,"DATE ERROR",SUM($J$36:$J39))))))</f>
        <v>0.51</v>
      </c>
      <c r="P39" s="181">
        <f t="shared" si="2"/>
        <v>0.49</v>
      </c>
      <c r="Q39" s="182">
        <f>IF(B39=0,"",SUM($N$36:N39))</f>
        <v>48177.01</v>
      </c>
      <c r="R39" s="182">
        <f t="shared" si="3"/>
        <v>18528.739999999998</v>
      </c>
      <c r="S39" s="220"/>
      <c r="T39" s="185" t="s">
        <v>76</v>
      </c>
      <c r="U39" s="23"/>
      <c r="V39" s="23"/>
      <c r="W39" s="168"/>
      <c r="X39" s="154"/>
      <c r="AB39" s="91"/>
      <c r="AC39" s="91"/>
    </row>
    <row r="40" spans="1:29" ht="15.75" customHeight="1">
      <c r="A40" s="52" t="str">
        <f t="shared" si="4"/>
        <v/>
      </c>
      <c r="B40" s="174">
        <v>3</v>
      </c>
      <c r="C40" s="174" t="s">
        <v>15</v>
      </c>
      <c r="D40" s="174">
        <v>1001014</v>
      </c>
      <c r="E40" s="97">
        <v>41852</v>
      </c>
      <c r="F40" s="97">
        <v>44043</v>
      </c>
      <c r="G40" s="97" t="s">
        <v>94</v>
      </c>
      <c r="H40" s="175">
        <f>IF(G40="", "", VLOOKUP($G40,Lookup!$A$2:$C$9,2, FALSE))</f>
        <v>44013</v>
      </c>
      <c r="I40" s="175">
        <f>IF(G40="", "", VLOOKUP($G40,Lookup!$A$2:$C$9,3, FALSE))</f>
        <v>44043</v>
      </c>
      <c r="J40" s="176">
        <v>0.20499999999999999</v>
      </c>
      <c r="K40" s="177">
        <v>114.8</v>
      </c>
      <c r="L40" s="178">
        <v>43343</v>
      </c>
      <c r="M40" s="179">
        <v>600992221</v>
      </c>
      <c r="N40" s="180">
        <f t="shared" si="5"/>
        <v>14493.5</v>
      </c>
      <c r="O40" s="181">
        <f>IF(B40=0,"",IF(H40&gt;F40,"DATE ERROR",IF(H40&lt;E40,"DATE ERROR",IF(I40&gt;F40,"DATE ERROR",IF(I40&lt;E40,"DATE ERROR",SUM($J$36:$J40))))))</f>
        <v>0.71499999999999997</v>
      </c>
      <c r="P40" s="181">
        <f t="shared" si="2"/>
        <v>0.28500000000000003</v>
      </c>
      <c r="Q40" s="182">
        <f>IF(B40=0,"",SUM($N$36:N40))</f>
        <v>62670.51</v>
      </c>
      <c r="R40" s="182">
        <f t="shared" si="3"/>
        <v>4035.239999999998</v>
      </c>
      <c r="S40" s="220"/>
      <c r="T40" s="167"/>
      <c r="U40" s="23"/>
      <c r="V40" s="23"/>
      <c r="W40" s="168"/>
      <c r="X40" s="154"/>
      <c r="Y40" s="40"/>
      <c r="Z40" s="103"/>
      <c r="AA40" s="103"/>
      <c r="AB40" s="91"/>
      <c r="AC40" s="91"/>
    </row>
    <row r="41" spans="1:29" ht="15.75" customHeight="1">
      <c r="A41" s="52" t="str">
        <f t="shared" si="4"/>
        <v/>
      </c>
      <c r="B41" s="174">
        <v>3</v>
      </c>
      <c r="C41" s="174" t="s">
        <v>31</v>
      </c>
      <c r="D41" s="174">
        <v>1001015</v>
      </c>
      <c r="E41" s="97">
        <v>41852</v>
      </c>
      <c r="F41" s="97">
        <v>44408</v>
      </c>
      <c r="G41" s="97" t="s">
        <v>95</v>
      </c>
      <c r="H41" s="175">
        <f>IF(G41="", "", VLOOKUP($G41,Lookup!$A$2:$C$9,2, FALSE))</f>
        <v>44044</v>
      </c>
      <c r="I41" s="175">
        <f>IF(G41="", "", VLOOKUP($G41,Lookup!$A$2:$C$9,3, FALSE))</f>
        <v>44057</v>
      </c>
      <c r="J41" s="176">
        <v>3.5000000000000003E-2</v>
      </c>
      <c r="K41" s="177">
        <v>19.600000000000001</v>
      </c>
      <c r="L41" s="178">
        <v>43373</v>
      </c>
      <c r="M41" s="179">
        <v>600992222</v>
      </c>
      <c r="N41" s="180">
        <f t="shared" si="5"/>
        <v>2474.5</v>
      </c>
      <c r="O41" s="181">
        <f>IF(B41=0,"",IF(H41&gt;F41,"DATE ERROR",IF(H41&lt;E41,"DATE ERROR",IF(I41&gt;F41,"DATE ERROR",IF(I41&lt;E41,"DATE ERROR",SUM($J$36:$J41))))))</f>
        <v>0.75</v>
      </c>
      <c r="P41" s="181">
        <f t="shared" si="2"/>
        <v>0.25</v>
      </c>
      <c r="Q41" s="182">
        <f>IF(B41=0,"",SUM($N$36:N41))</f>
        <v>65145.01</v>
      </c>
      <c r="R41" s="182">
        <f t="shared" si="3"/>
        <v>1560.739999999998</v>
      </c>
      <c r="S41" s="220"/>
      <c r="T41" s="187"/>
      <c r="U41" s="153"/>
      <c r="V41" s="153"/>
      <c r="W41" s="168"/>
      <c r="X41" s="154"/>
      <c r="Y41" s="10"/>
      <c r="AA41" s="10"/>
    </row>
    <row r="42" spans="1:29" ht="15.75" customHeight="1">
      <c r="A42" s="52" t="str">
        <f t="shared" si="4"/>
        <v/>
      </c>
      <c r="B42" s="174">
        <v>3</v>
      </c>
      <c r="C42" s="174" t="s">
        <v>15</v>
      </c>
      <c r="D42" s="174">
        <v>1001016</v>
      </c>
      <c r="E42" s="97">
        <v>41852</v>
      </c>
      <c r="F42" s="97">
        <v>44408</v>
      </c>
      <c r="G42" s="97" t="s">
        <v>95</v>
      </c>
      <c r="H42" s="175">
        <f>IF(G42="", "", VLOOKUP($G42,Lookup!$A$2:$C$9,2, FALSE))</f>
        <v>44044</v>
      </c>
      <c r="I42" s="175">
        <f>IF(G42="", "", VLOOKUP($G42,Lookup!$A$2:$C$9,3, FALSE))</f>
        <v>44057</v>
      </c>
      <c r="J42" s="176">
        <v>1.4999999999999999E-2</v>
      </c>
      <c r="K42" s="177">
        <v>5.6</v>
      </c>
      <c r="L42" s="178">
        <v>43373</v>
      </c>
      <c r="M42" s="179">
        <v>600992222</v>
      </c>
      <c r="N42" s="180">
        <f t="shared" si="5"/>
        <v>707</v>
      </c>
      <c r="O42" s="181">
        <f>IF(B42=0,"",IF(H42&gt;F42,"DATE ERROR",IF(H42&lt;E42,"DATE ERROR",IF(I42&gt;F42,"DATE ERROR",IF(I42&lt;E42,"DATE ERROR",SUM($J$36:$J42))))))</f>
        <v>0.76500000000000001</v>
      </c>
      <c r="P42" s="181">
        <f t="shared" si="2"/>
        <v>0.23499999999999999</v>
      </c>
      <c r="Q42" s="182">
        <f>IF(B42=0,"",SUM($N$36:N42))</f>
        <v>65852.010000000009</v>
      </c>
      <c r="R42" s="182">
        <f t="shared" si="3"/>
        <v>853.73999999999069</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6">ROUND((J43*560),3)</f>
        <v>0</v>
      </c>
      <c r="L43" s="178"/>
      <c r="M43" s="179"/>
      <c r="N43" s="180" t="str">
        <f t="shared" si="5"/>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6"/>
        <v>0</v>
      </c>
      <c r="L44" s="178"/>
      <c r="M44" s="179"/>
      <c r="N44" s="180" t="str">
        <f t="shared" si="5"/>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6"/>
        <v>0</v>
      </c>
      <c r="L45" s="178"/>
      <c r="M45" s="179"/>
      <c r="N45" s="180" t="str">
        <f t="shared" si="5"/>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6"/>
        <v>0</v>
      </c>
      <c r="L46" s="178"/>
      <c r="M46" s="179"/>
      <c r="N46" s="180" t="str">
        <f t="shared" si="5"/>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6"/>
        <v>0</v>
      </c>
      <c r="L47" s="178"/>
      <c r="M47" s="179"/>
      <c r="N47" s="180" t="str">
        <f t="shared" si="5"/>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6"/>
        <v>0</v>
      </c>
      <c r="L48" s="178"/>
      <c r="M48" s="179"/>
      <c r="N48" s="180" t="str">
        <f t="shared" si="5"/>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6"/>
        <v>0</v>
      </c>
      <c r="L49" s="178"/>
      <c r="M49" s="179"/>
      <c r="N49" s="180" t="str">
        <f t="shared" si="5"/>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6"/>
        <v>0</v>
      </c>
      <c r="L50" s="178"/>
      <c r="M50" s="179"/>
      <c r="N50" s="180" t="str">
        <f t="shared" si="5"/>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6"/>
        <v>0</v>
      </c>
      <c r="L51" s="178"/>
      <c r="M51" s="179"/>
      <c r="N51" s="180" t="str">
        <f t="shared" si="5"/>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6"/>
        <v>0</v>
      </c>
      <c r="L52" s="178"/>
      <c r="M52" s="179"/>
      <c r="N52" s="180" t="str">
        <f t="shared" si="5"/>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6"/>
        <v>0</v>
      </c>
      <c r="L53" s="178"/>
      <c r="M53" s="179"/>
      <c r="N53" s="180" t="str">
        <f t="shared" si="5"/>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6"/>
        <v>0</v>
      </c>
      <c r="L54" s="178"/>
      <c r="M54" s="179"/>
      <c r="N54" s="180" t="str">
        <f t="shared" si="5"/>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6"/>
        <v>0</v>
      </c>
      <c r="L55" s="178"/>
      <c r="M55" s="179"/>
      <c r="N55" s="180" t="str">
        <f t="shared" si="5"/>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6"/>
        <v>0</v>
      </c>
      <c r="L56" s="178"/>
      <c r="M56" s="179"/>
      <c r="N56" s="180" t="str">
        <f t="shared" si="5"/>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6"/>
        <v>0</v>
      </c>
      <c r="L57" s="178"/>
      <c r="M57" s="179"/>
      <c r="N57" s="180" t="str">
        <f t="shared" si="5"/>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6"/>
        <v>0</v>
      </c>
      <c r="L58" s="178"/>
      <c r="M58" s="179"/>
      <c r="N58" s="180" t="str">
        <f t="shared" si="5"/>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6"/>
        <v>0</v>
      </c>
      <c r="L59" s="178"/>
      <c r="M59" s="179"/>
      <c r="N59" s="180" t="str">
        <f t="shared" si="5"/>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6"/>
        <v>0</v>
      </c>
      <c r="L60" s="178"/>
      <c r="M60" s="179"/>
      <c r="N60" s="180" t="str">
        <f t="shared" si="5"/>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6"/>
        <v>0</v>
      </c>
      <c r="L61" s="178"/>
      <c r="M61" s="179"/>
      <c r="N61" s="180" t="str">
        <f t="shared" si="5"/>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6"/>
        <v>0</v>
      </c>
      <c r="L62" s="178"/>
      <c r="M62" s="179"/>
      <c r="N62" s="180" t="str">
        <f t="shared" si="5"/>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6"/>
        <v>0</v>
      </c>
      <c r="L63" s="178"/>
      <c r="M63" s="179"/>
      <c r="N63" s="180" t="str">
        <f t="shared" si="5"/>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6"/>
        <v>0</v>
      </c>
      <c r="L64" s="178"/>
      <c r="M64" s="179"/>
      <c r="N64" s="180" t="str">
        <f t="shared" si="5"/>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6"/>
        <v>0</v>
      </c>
      <c r="L65" s="178"/>
      <c r="M65" s="179"/>
      <c r="N65" s="180" t="str">
        <f t="shared" si="5"/>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6"/>
        <v>0</v>
      </c>
      <c r="L66" s="194"/>
      <c r="M66" s="179"/>
      <c r="N66" s="180" t="str">
        <f t="shared" si="5"/>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65852.010000000009</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algorithmName="SHA-512" hashValue="r1chQI08Qw93BO14RWzedpS2sHhIALiJOYPKB6O7iu0SqJFhN5yitVZDoxawNfgXE4i6x/1jWpEy1BXvvFH5Vw==" saltValue="gDulyg/3OIVShOblMcXbQg==" spinCount="100000" sheet="1" objects="1" scenarios="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0" priority="23" stopIfTrue="1">
      <formula>AND(C36="",B36&lt;&gt;"")</formula>
    </cfRule>
  </conditionalFormatting>
  <conditionalFormatting sqref="Y40 Y34:Y38 V21:V22 N7:O8 W7:W8 V9:V17 V28:V31 W26:W27">
    <cfRule type="cellIs" dxfId="19" priority="22" stopIfTrue="1" operator="greaterThan">
      <formula>$M$7</formula>
    </cfRule>
  </conditionalFormatting>
  <conditionalFormatting sqref="P34:R35 R28:R31 S27">
    <cfRule type="cellIs" dxfId="18" priority="21" stopIfTrue="1" operator="lessThan">
      <formula>0</formula>
    </cfRule>
  </conditionalFormatting>
  <conditionalFormatting sqref="I12 R32 T41:T44 U41:V48 T46:T47 P36:R66">
    <cfRule type="cellIs" dxfId="17" priority="20" stopIfTrue="1" operator="lessThan">
      <formula>0</formula>
    </cfRule>
  </conditionalFormatting>
  <conditionalFormatting sqref="O35">
    <cfRule type="cellIs" dxfId="16" priority="19" stopIfTrue="1" operator="equal">
      <formula>"""** ERROR **"""</formula>
    </cfRule>
  </conditionalFormatting>
  <conditionalFormatting sqref="O36:O66">
    <cfRule type="cellIs" dxfId="15" priority="18" stopIfTrue="1" operator="equal">
      <formula>"DATE ERROR"</formula>
    </cfRule>
  </conditionalFormatting>
  <conditionalFormatting sqref="I11">
    <cfRule type="cellIs" dxfId="14" priority="17" stopIfTrue="1" operator="greaterThan">
      <formula>$I$10</formula>
    </cfRule>
  </conditionalFormatting>
  <conditionalFormatting sqref="C36:C66">
    <cfRule type="expression" dxfId="13" priority="16" stopIfTrue="1">
      <formula>AND(C36="",B36&lt;&gt;"")</formula>
    </cfRule>
  </conditionalFormatting>
  <conditionalFormatting sqref="C36:C66">
    <cfRule type="expression" dxfId="12" priority="15" stopIfTrue="1">
      <formula>AND(C36="",B36&lt;&gt;"")</formula>
    </cfRule>
  </conditionalFormatting>
  <conditionalFormatting sqref="N2">
    <cfRule type="containsText" dxfId="11" priority="14" stopIfTrue="1" operator="containsText" text="&lt;-- Please enter NSF Academic salary. Enter zero if none.">
      <formula>NOT(ISERROR(SEARCH("&lt;-- Please enter NSF Academic salary. Enter zero if none.",N2)))</formula>
    </cfRule>
  </conditionalFormatting>
  <conditionalFormatting sqref="D36:F36">
    <cfRule type="expression" dxfId="10" priority="13" stopIfTrue="1">
      <formula>AND(D36="",C36&lt;&gt;"")</formula>
    </cfRule>
  </conditionalFormatting>
  <conditionalFormatting sqref="D27:L27">
    <cfRule type="expression" dxfId="9" priority="10" stopIfTrue="1">
      <formula>INDEX($A$2:$M27,ROW()-1,COLUMN())=INDEX($A$2:$M27,ROW(),COLUMN())</formula>
    </cfRule>
    <cfRule type="expression" dxfId="8" priority="11" stopIfTrue="1">
      <formula>INDEX($A$1:$M27,ROW()-1,COLUMN())&lt;INDEX($A$1:$M27,ROW(),COLUMN())</formula>
    </cfRule>
  </conditionalFormatting>
  <conditionalFormatting sqref="L12">
    <cfRule type="cellIs" dxfId="7" priority="8" stopIfTrue="1" operator="greaterThan">
      <formula>$M$6</formula>
    </cfRule>
  </conditionalFormatting>
  <conditionalFormatting sqref="L9:L11">
    <cfRule type="cellIs" dxfId="6" priority="7" stopIfTrue="1" operator="greaterThan">
      <formula>$M$6</formula>
    </cfRule>
  </conditionalFormatting>
  <conditionalFormatting sqref="E37:F37">
    <cfRule type="expression" dxfId="5" priority="6" stopIfTrue="1">
      <formula>AND(E37="",D37&lt;&gt;"")</formula>
    </cfRule>
  </conditionalFormatting>
  <conditionalFormatting sqref="E38:F38">
    <cfRule type="expression" dxfId="4" priority="5" stopIfTrue="1">
      <formula>AND(E38="",D38&lt;&gt;"")</formula>
    </cfRule>
  </conditionalFormatting>
  <conditionalFormatting sqref="E39:F39">
    <cfRule type="expression" dxfId="3" priority="4" stopIfTrue="1">
      <formula>AND(E39="",D39&lt;&gt;"")</formula>
    </cfRule>
  </conditionalFormatting>
  <conditionalFormatting sqref="E40:F40">
    <cfRule type="expression" dxfId="2" priority="3" stopIfTrue="1">
      <formula>AND(E40="",D40&lt;&gt;"")</formula>
    </cfRule>
  </conditionalFormatting>
  <conditionalFormatting sqref="E41:F41">
    <cfRule type="expression" dxfId="1" priority="2" stopIfTrue="1">
      <formula>AND(E41="",D41&lt;&gt;"")</formula>
    </cfRule>
  </conditionalFormatting>
  <conditionalFormatting sqref="E42:F42">
    <cfRule type="expression" dxfId="0" priority="1" stopIfTrue="1">
      <formula>AND(E42="",D42&lt;&gt;"")</formula>
    </cfRule>
  </conditionalFormatting>
  <dataValidations count="7">
    <dataValidation type="list" allowBlank="1" showInputMessage="1" showErrorMessage="1" error="Please Eneter valid Period_x000a__x000a_For: ODOT EXC can only be paid in Summer Period" sqref="G36:G66">
      <formula1>Period</formula1>
    </dataValidation>
    <dataValidation type="list" allowBlank="1" showInputMessage="1" showErrorMessage="1" sqref="C36:C66">
      <formula1>Agency</formula1>
    </dataValidation>
    <dataValidation type="list" allowBlank="1" showInputMessage="1" showErrorMessage="1" sqref="B36:B66">
      <formula1>PL</formula1>
    </dataValidation>
    <dataValidation type="date" operator="greaterThan" allowBlank="1" showInputMessage="1" showErrorMessage="1" sqref="E43:E66">
      <formula1>1</formula1>
    </dataValidation>
    <dataValidation type="date" allowBlank="1" showInputMessage="1" showErrorMessage="1" error="Enter Valid Date Format xx/xx/xxxx" sqref="E36:E42">
      <formula1>1</formula1>
      <formula2>2958465</formula2>
    </dataValidation>
    <dataValidation type="list" allowBlank="1" showInputMessage="1" showErrorMessage="1" sqref="G32:G33">
      <formula1>IF($C$36&lt;&gt;"ODOT",Period,ODOTlist)</formula1>
    </dataValidation>
    <dataValidation type="decimal" allowBlank="1" showInputMessage="1" showErrorMessage="1" sqref="M27">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7"/>
  <sheetViews>
    <sheetView workbookViewId="0">
      <selection activeCell="A16" sqref="A16"/>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23" customWidth="1"/>
    <col min="6" max="6" width="9.5703125" bestFit="1" customWidth="1"/>
  </cols>
  <sheetData>
    <row r="1" spans="1:7">
      <c r="A1" s="280" t="s">
        <v>194</v>
      </c>
      <c r="B1" s="280" t="s">
        <v>195</v>
      </c>
      <c r="C1" s="280" t="s">
        <v>196</v>
      </c>
      <c r="D1" s="281" t="s">
        <v>197</v>
      </c>
      <c r="E1" s="282" t="s">
        <v>198</v>
      </c>
      <c r="F1" s="280"/>
    </row>
    <row r="2" spans="1:7">
      <c r="A2" t="s">
        <v>90</v>
      </c>
      <c r="B2" s="283">
        <v>43692</v>
      </c>
      <c r="C2" s="284">
        <v>43702</v>
      </c>
      <c r="D2" s="285" t="str">
        <f>TEXT(B2,"m/d")&amp;"-"&amp;TEXT(C2,"m/d/yy")</f>
        <v>8/15-8/25/19</v>
      </c>
      <c r="E2" s="282">
        <f>NETWORKDAYS(B2,C2,Holidays!$A$2:$A$20)*10</f>
        <v>70</v>
      </c>
      <c r="F2" s="286">
        <f>E2/560</f>
        <v>0.125</v>
      </c>
      <c r="G2" s="317"/>
    </row>
    <row r="3" spans="1:7">
      <c r="A3" t="s">
        <v>91</v>
      </c>
      <c r="B3" s="283">
        <v>43815</v>
      </c>
      <c r="C3" s="284">
        <v>43842</v>
      </c>
      <c r="D3" s="285" t="str">
        <f>TEXT(B3,"m/d/yy")&amp;"-"&amp;TEXT(C3,"m/d/yy")</f>
        <v>12/16/19-1/12/20</v>
      </c>
      <c r="E3" s="282">
        <f>NETWORKDAYS(B3,C3,Holidays!A2:A20)*10</f>
        <v>120</v>
      </c>
      <c r="F3" s="286">
        <f>E3/560</f>
        <v>0.21428571428571427</v>
      </c>
    </row>
    <row r="4" spans="1:7">
      <c r="A4" t="s">
        <v>92</v>
      </c>
      <c r="B4" s="283">
        <v>43906</v>
      </c>
      <c r="C4" s="284">
        <v>43912</v>
      </c>
      <c r="D4" s="285" t="str">
        <f t="shared" ref="D4:D9" si="0">TEXT(B4,"m/d")&amp;"-"&amp;TEXT(C4,"m/d/yy")</f>
        <v>3/16-3/22/20</v>
      </c>
      <c r="E4" s="287">
        <f>NETWORKDAYS(B4,C4,Holidays!$A$2:$A$20)*10</f>
        <v>50</v>
      </c>
      <c r="F4" s="286">
        <f t="shared" ref="F4:F9" si="1">E4/560</f>
        <v>8.9285714285714288E-2</v>
      </c>
    </row>
    <row r="5" spans="1:7">
      <c r="A5" t="s">
        <v>199</v>
      </c>
      <c r="B5" s="283">
        <v>43952</v>
      </c>
      <c r="C5" s="284">
        <v>43961</v>
      </c>
      <c r="D5" s="285" t="str">
        <f t="shared" si="0"/>
        <v>5/1-5/10/20</v>
      </c>
      <c r="E5" s="282">
        <f>NETWORKDAYS(B5,C5,Holidays!$A$2:$A$20)*10</f>
        <v>60</v>
      </c>
      <c r="F5" s="286">
        <f t="shared" si="1"/>
        <v>0.10714285714285714</v>
      </c>
    </row>
    <row r="6" spans="1:7">
      <c r="A6" t="s">
        <v>93</v>
      </c>
      <c r="B6" s="283">
        <v>43962</v>
      </c>
      <c r="C6" s="284">
        <v>43982</v>
      </c>
      <c r="D6" s="285" t="str">
        <f t="shared" si="0"/>
        <v>5/11-5/31/20</v>
      </c>
      <c r="E6" s="282">
        <f>NETWORKDAYS(B6,C6,Holidays!$A$2:$A$20)*10</f>
        <v>140</v>
      </c>
      <c r="F6" s="286">
        <f t="shared" si="1"/>
        <v>0.25</v>
      </c>
    </row>
    <row r="7" spans="1:7">
      <c r="A7" t="s">
        <v>200</v>
      </c>
      <c r="B7" s="283">
        <v>43983</v>
      </c>
      <c r="C7" s="284">
        <v>44012</v>
      </c>
      <c r="D7" s="285" t="str">
        <f t="shared" si="0"/>
        <v>6/1-6/30/20</v>
      </c>
      <c r="E7" s="282">
        <f>NETWORKDAYS(B7,C7,Holidays!$A$2:$A$20)*10</f>
        <v>220</v>
      </c>
      <c r="F7" s="286">
        <f t="shared" si="1"/>
        <v>0.39285714285714285</v>
      </c>
    </row>
    <row r="8" spans="1:7">
      <c r="A8" t="s">
        <v>94</v>
      </c>
      <c r="B8" s="283">
        <v>44013</v>
      </c>
      <c r="C8" s="284">
        <v>44043</v>
      </c>
      <c r="D8" s="285" t="str">
        <f t="shared" si="0"/>
        <v>7/1-7/31/20</v>
      </c>
      <c r="E8" s="282">
        <f>NETWORKDAYS(B8,C8,Holidays!$A$2:$A$20)*10</f>
        <v>220</v>
      </c>
      <c r="F8" s="286">
        <f t="shared" si="1"/>
        <v>0.39285714285714285</v>
      </c>
    </row>
    <row r="9" spans="1:7">
      <c r="A9" t="s">
        <v>95</v>
      </c>
      <c r="B9" s="283">
        <v>44044</v>
      </c>
      <c r="C9" s="284">
        <v>44057</v>
      </c>
      <c r="D9" s="285" t="str">
        <f t="shared" si="0"/>
        <v>8/1-8/14/20</v>
      </c>
      <c r="E9" s="282">
        <f>NETWORKDAYS(B9,C9,Holidays!$A$2:$A$20)*10</f>
        <v>100</v>
      </c>
      <c r="F9" s="286">
        <f t="shared" si="1"/>
        <v>0.17857142857142858</v>
      </c>
    </row>
    <row r="10" spans="1:7">
      <c r="A10" t="s">
        <v>201</v>
      </c>
      <c r="B10" s="288" t="s">
        <v>202</v>
      </c>
      <c r="C10" s="289" t="s">
        <v>203</v>
      </c>
    </row>
    <row r="17" spans="4:4">
      <c r="D17" t="s">
        <v>204</v>
      </c>
    </row>
  </sheetData>
  <sheetProtection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6" sqref="A16"/>
    </sheetView>
  </sheetViews>
  <sheetFormatPr defaultRowHeight="15"/>
  <cols>
    <col min="1" max="1" width="10.5703125" bestFit="1" customWidth="1"/>
  </cols>
  <sheetData>
    <row r="1" spans="1:5">
      <c r="A1" s="290" t="s">
        <v>205</v>
      </c>
    </row>
    <row r="2" spans="1:5">
      <c r="A2" s="291">
        <v>43710</v>
      </c>
    </row>
    <row r="3" spans="1:5">
      <c r="A3" s="291">
        <v>43780</v>
      </c>
    </row>
    <row r="4" spans="1:5">
      <c r="A4" s="291">
        <v>43797</v>
      </c>
    </row>
    <row r="5" spans="1:5">
      <c r="A5" s="291">
        <v>43798</v>
      </c>
    </row>
    <row r="6" spans="1:5">
      <c r="A6" s="315">
        <v>43822</v>
      </c>
    </row>
    <row r="7" spans="1:5">
      <c r="A7" s="315">
        <v>43823</v>
      </c>
      <c r="C7" s="316" t="s">
        <v>206</v>
      </c>
      <c r="D7" s="316"/>
      <c r="E7" s="316"/>
    </row>
    <row r="8" spans="1:5">
      <c r="A8" s="315">
        <v>43824</v>
      </c>
      <c r="C8" s="316" t="s">
        <v>207</v>
      </c>
      <c r="D8" s="316"/>
      <c r="E8" s="316"/>
    </row>
    <row r="9" spans="1:5">
      <c r="A9" s="315">
        <v>43825</v>
      </c>
    </row>
    <row r="10" spans="1:5">
      <c r="A10" s="315">
        <v>43826</v>
      </c>
    </row>
    <row r="11" spans="1:5">
      <c r="A11" s="315">
        <v>43829</v>
      </c>
    </row>
    <row r="12" spans="1:5">
      <c r="A12" s="315">
        <v>43830</v>
      </c>
    </row>
    <row r="13" spans="1:5">
      <c r="A13" s="315">
        <v>43831</v>
      </c>
    </row>
    <row r="14" spans="1:5">
      <c r="A14" s="291">
        <v>43850</v>
      </c>
    </row>
    <row r="15" spans="1:5">
      <c r="A15" s="291">
        <v>43976</v>
      </c>
    </row>
    <row r="16" spans="1:5">
      <c r="A16" s="291">
        <v>44015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2019-08-14T20:44:26Z</cp:lastPrinted>
  <dcterms:created xsi:type="dcterms:W3CDTF">2018-08-08T14:22:58Z</dcterms:created>
  <dcterms:modified xsi:type="dcterms:W3CDTF">2020-02-17T16:37:38Z</dcterms:modified>
</cp:coreProperties>
</file>